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0" yWindow="-15" windowWidth="9645" windowHeight="9075" tabRatio="929" activeTab="1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 2020" sheetId="34" r:id="rId10"/>
    <sheet name="Спецификация 2020-2021" sheetId="45" r:id="rId11"/>
  </sheets>
  <externalReferences>
    <externalReference r:id="rId12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'Спецификация 2020'!$A$1:$P$52</definedName>
    <definedName name="_xlnm.Print_Area" localSheetId="10">'Спецификация 2020-2021'!$A$1:$P$52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'Спецификация 2020'!$4:$5</definedName>
    <definedName name="_xlnm.Print_Titles" localSheetId="10">'Спецификация 2020-2021'!$4:$5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4519"/>
</workbook>
</file>

<file path=xl/calcChain.xml><?xml version="1.0" encoding="utf-8"?>
<calcChain xmlns="http://schemas.openxmlformats.org/spreadsheetml/2006/main">
  <c r="E6" i="24"/>
  <c r="F100" l="1"/>
  <c r="E100"/>
  <c r="G19" i="21" l="1"/>
  <c r="M31" i="45" l="1"/>
  <c r="O31"/>
  <c r="N31" l="1"/>
  <c r="M28"/>
  <c r="E28"/>
  <c r="P31" l="1"/>
  <c r="F65" i="24" l="1"/>
  <c r="D19" i="21" l="1"/>
  <c r="H50"/>
  <c r="G50"/>
  <c r="I55" l="1"/>
  <c r="H37" i="45" l="1"/>
  <c r="K40" i="34"/>
  <c r="K41"/>
  <c r="M16" l="1"/>
  <c r="N16"/>
  <c r="O16"/>
  <c r="P16"/>
  <c r="E65" i="24" l="1"/>
  <c r="F6" l="1"/>
  <c r="D10" i="34" l="1"/>
  <c r="I54" i="21" l="1"/>
  <c r="I52"/>
  <c r="F52"/>
  <c r="F54"/>
  <c r="F84" i="24" l="1"/>
  <c r="I53" i="21" l="1"/>
  <c r="F73" i="24" l="1"/>
  <c r="E129" l="1"/>
  <c r="G81" i="36"/>
  <c r="B81"/>
  <c r="D75" l="1"/>
  <c r="N37" i="45" l="1"/>
  <c r="O37"/>
  <c r="P37"/>
  <c r="K37"/>
  <c r="F22" i="29" l="1"/>
  <c r="F38" i="24" s="1"/>
  <c r="E22" i="29"/>
  <c r="K40" i="45"/>
  <c r="K41"/>
  <c r="E38" i="24" l="1"/>
  <c r="E17" i="34"/>
  <c r="L40" i="45"/>
  <c r="M40"/>
  <c r="L41"/>
  <c r="M41"/>
  <c r="E41"/>
  <c r="H52" l="1"/>
  <c r="C52"/>
  <c r="G51"/>
  <c r="B51"/>
  <c r="D46"/>
  <c r="D45"/>
  <c r="D42"/>
  <c r="P40"/>
  <c r="O40"/>
  <c r="N41"/>
  <c r="N43" s="1"/>
  <c r="N44" s="1"/>
  <c r="J41"/>
  <c r="J43" s="1"/>
  <c r="J44" s="1"/>
  <c r="I40"/>
  <c r="H40"/>
  <c r="G41"/>
  <c r="G43" s="1"/>
  <c r="G44" s="1"/>
  <c r="F41"/>
  <c r="F43" s="1"/>
  <c r="F44" s="1"/>
  <c r="D38"/>
  <c r="M37"/>
  <c r="L37"/>
  <c r="J37"/>
  <c r="I37"/>
  <c r="G37"/>
  <c r="F37"/>
  <c r="E37"/>
  <c r="D36"/>
  <c r="D34"/>
  <c r="D32"/>
  <c r="D31"/>
  <c r="D30"/>
  <c r="D26"/>
  <c r="D25"/>
  <c r="P23"/>
  <c r="P24" s="1"/>
  <c r="O23"/>
  <c r="O24" s="1"/>
  <c r="N23"/>
  <c r="N24" s="1"/>
  <c r="M23"/>
  <c r="M24" s="1"/>
  <c r="L23"/>
  <c r="L24" s="1"/>
  <c r="K23"/>
  <c r="K24" s="1"/>
  <c r="J23"/>
  <c r="J24" s="1"/>
  <c r="I23"/>
  <c r="I24" s="1"/>
  <c r="H23"/>
  <c r="H24" s="1"/>
  <c r="G23"/>
  <c r="G24" s="1"/>
  <c r="F23"/>
  <c r="F24" s="1"/>
  <c r="E23"/>
  <c r="E24" s="1"/>
  <c r="P22"/>
  <c r="D21"/>
  <c r="D20"/>
  <c r="P19"/>
  <c r="O19"/>
  <c r="N19"/>
  <c r="M19"/>
  <c r="L19"/>
  <c r="K19"/>
  <c r="J19"/>
  <c r="I19"/>
  <c r="H19"/>
  <c r="G19"/>
  <c r="F19"/>
  <c r="E19"/>
  <c r="P16"/>
  <c r="O16"/>
  <c r="N16"/>
  <c r="M16"/>
  <c r="L16"/>
  <c r="K16"/>
  <c r="J16"/>
  <c r="I16"/>
  <c r="H16"/>
  <c r="G16"/>
  <c r="F16"/>
  <c r="E16"/>
  <c r="D13"/>
  <c r="D10"/>
  <c r="A2"/>
  <c r="E32" i="24"/>
  <c r="F11" i="29"/>
  <c r="H22" i="45" l="1"/>
  <c r="N22"/>
  <c r="G17"/>
  <c r="G15" s="1"/>
  <c r="I17"/>
  <c r="I15" s="1"/>
  <c r="K17"/>
  <c r="K15" s="1"/>
  <c r="P28"/>
  <c r="P29" s="1"/>
  <c r="F17"/>
  <c r="F15" s="1"/>
  <c r="H17"/>
  <c r="J17"/>
  <c r="J15" s="1"/>
  <c r="O28"/>
  <c r="O29" s="1"/>
  <c r="K28"/>
  <c r="K29" s="1"/>
  <c r="G28"/>
  <c r="G29" s="1"/>
  <c r="N28"/>
  <c r="N29" s="1"/>
  <c r="L28"/>
  <c r="L29" s="1"/>
  <c r="J28"/>
  <c r="J29" s="1"/>
  <c r="H28"/>
  <c r="H29" s="1"/>
  <c r="F28"/>
  <c r="F29" s="1"/>
  <c r="J9"/>
  <c r="F9"/>
  <c r="H15"/>
  <c r="K12"/>
  <c r="G12"/>
  <c r="K9"/>
  <c r="I9"/>
  <c r="G9"/>
  <c r="F22"/>
  <c r="G22"/>
  <c r="K22"/>
  <c r="O22"/>
  <c r="I28"/>
  <c r="I29" s="1"/>
  <c r="H9"/>
  <c r="D19"/>
  <c r="D16"/>
  <c r="J22"/>
  <c r="L22"/>
  <c r="D24"/>
  <c r="O41"/>
  <c r="O43" s="1"/>
  <c r="O44" s="1"/>
  <c r="D39"/>
  <c r="D40" s="1"/>
  <c r="K43"/>
  <c r="K44" s="1"/>
  <c r="G40"/>
  <c r="D37"/>
  <c r="E22"/>
  <c r="I22"/>
  <c r="M22"/>
  <c r="D23"/>
  <c r="D22" s="1"/>
  <c r="F40"/>
  <c r="J40"/>
  <c r="N40"/>
  <c r="I41"/>
  <c r="I43" s="1"/>
  <c r="I44" s="1"/>
  <c r="M43"/>
  <c r="M44" s="1"/>
  <c r="E40"/>
  <c r="H41"/>
  <c r="H43" s="1"/>
  <c r="H44" s="1"/>
  <c r="L43"/>
  <c r="L44" s="1"/>
  <c r="P41"/>
  <c r="P43" s="1"/>
  <c r="P44" s="1"/>
  <c r="F24" i="24"/>
  <c r="D63" i="42"/>
  <c r="D62"/>
  <c r="D67" s="1"/>
  <c r="D54"/>
  <c r="D7" i="25"/>
  <c r="D12" s="1"/>
  <c r="E29" i="24"/>
  <c r="F53" i="21"/>
  <c r="G32" i="35"/>
  <c r="M29" i="45" l="1"/>
  <c r="D28"/>
  <c r="F12"/>
  <c r="J12"/>
  <c r="E17"/>
  <c r="E15" s="1"/>
  <c r="I12"/>
  <c r="H12"/>
  <c r="E9"/>
  <c r="E12"/>
  <c r="E43"/>
  <c r="D41"/>
  <c r="E29" i="36"/>
  <c r="D7"/>
  <c r="E16" i="34"/>
  <c r="E15" s="1"/>
  <c r="F16"/>
  <c r="G16"/>
  <c r="H16"/>
  <c r="K37"/>
  <c r="L37"/>
  <c r="M37"/>
  <c r="N37"/>
  <c r="O37"/>
  <c r="P37"/>
  <c r="K16"/>
  <c r="L16"/>
  <c r="K17"/>
  <c r="L17"/>
  <c r="M17"/>
  <c r="N17"/>
  <c r="O17"/>
  <c r="P17"/>
  <c r="E29" i="45" l="1"/>
  <c r="D29" s="1"/>
  <c r="D43"/>
  <c r="E44"/>
  <c r="D44" s="1"/>
  <c r="J16" i="34"/>
  <c r="J17"/>
  <c r="I16"/>
  <c r="H37"/>
  <c r="I37"/>
  <c r="J37"/>
  <c r="H17"/>
  <c r="I17"/>
  <c r="G37"/>
  <c r="G17"/>
  <c r="F37"/>
  <c r="F17"/>
  <c r="E37"/>
  <c r="D85" i="21" l="1"/>
  <c r="F85" s="1"/>
  <c r="H18"/>
  <c r="G18"/>
  <c r="H13"/>
  <c r="G13"/>
  <c r="E18"/>
  <c r="D18"/>
  <c r="E13"/>
  <c r="D13"/>
  <c r="F39" i="29"/>
  <c r="F40" s="1"/>
  <c r="E39"/>
  <c r="E40" s="1"/>
  <c r="C52" i="34"/>
  <c r="H52"/>
  <c r="B128" i="24"/>
  <c r="F129"/>
  <c r="E57" i="25"/>
  <c r="D57"/>
  <c r="F131" i="24"/>
  <c r="E131"/>
  <c r="E32" i="44"/>
  <c r="F32"/>
  <c r="G32"/>
  <c r="H32"/>
  <c r="I32"/>
  <c r="J32"/>
  <c r="K32"/>
  <c r="L32"/>
  <c r="D32"/>
  <c r="D31"/>
  <c r="D34"/>
  <c r="D35" s="1"/>
  <c r="D15"/>
  <c r="D16" s="1"/>
  <c r="F32" i="29"/>
  <c r="E32"/>
  <c r="F34"/>
  <c r="F46" i="42"/>
  <c r="G46"/>
  <c r="H46"/>
  <c r="E46"/>
  <c r="K34"/>
  <c r="J34"/>
  <c r="D37" i="34"/>
  <c r="D38"/>
  <c r="E40"/>
  <c r="F40"/>
  <c r="G40"/>
  <c r="H40"/>
  <c r="I40"/>
  <c r="J40"/>
  <c r="L40"/>
  <c r="M40"/>
  <c r="N40"/>
  <c r="O40"/>
  <c r="P40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K35" s="1"/>
  <c r="D45"/>
  <c r="D44"/>
  <c r="D43"/>
  <c r="D42"/>
  <c r="D41"/>
  <c r="D46" s="1"/>
  <c r="D38"/>
  <c r="D37"/>
  <c r="D47" s="1"/>
  <c r="D33"/>
  <c r="D32"/>
  <c r="D31"/>
  <c r="D30"/>
  <c r="D29"/>
  <c r="D34" s="1"/>
  <c r="D26"/>
  <c r="D25"/>
  <c r="D24"/>
  <c r="D22"/>
  <c r="D21"/>
  <c r="D20"/>
  <c r="D16"/>
  <c r="D17" s="1"/>
  <c r="E68"/>
  <c r="F68"/>
  <c r="G68"/>
  <c r="H68"/>
  <c r="I68"/>
  <c r="J68"/>
  <c r="K68"/>
  <c r="D66"/>
  <c r="D65"/>
  <c r="D64"/>
  <c r="H27"/>
  <c r="G27"/>
  <c r="F27"/>
  <c r="K27"/>
  <c r="H19"/>
  <c r="I25"/>
  <c r="I24"/>
  <c r="I22"/>
  <c r="I21"/>
  <c r="I20"/>
  <c r="I16"/>
  <c r="I17" s="1"/>
  <c r="G51" i="34"/>
  <c r="B51"/>
  <c r="H79" i="42"/>
  <c r="C79"/>
  <c r="G78"/>
  <c r="B78"/>
  <c r="C41" i="44"/>
  <c r="H41"/>
  <c r="F23" i="34"/>
  <c r="F24" s="1"/>
  <c r="G23"/>
  <c r="G22" s="1"/>
  <c r="H23"/>
  <c r="H22" s="1"/>
  <c r="I23"/>
  <c r="I24" s="1"/>
  <c r="J23"/>
  <c r="J22" s="1"/>
  <c r="K23"/>
  <c r="K22" s="1"/>
  <c r="L23"/>
  <c r="L22" s="1"/>
  <c r="M23"/>
  <c r="M24" s="1"/>
  <c r="N23"/>
  <c r="N22" s="1"/>
  <c r="O23"/>
  <c r="O22" s="1"/>
  <c r="P23"/>
  <c r="P22" s="1"/>
  <c r="E23"/>
  <c r="E22" s="1"/>
  <c r="L24"/>
  <c r="D26"/>
  <c r="D25"/>
  <c r="F28"/>
  <c r="F29" s="1"/>
  <c r="G28"/>
  <c r="G29" s="1"/>
  <c r="H28"/>
  <c r="H29" s="1"/>
  <c r="I28"/>
  <c r="I29" s="1"/>
  <c r="J28"/>
  <c r="J29" s="1"/>
  <c r="K28"/>
  <c r="K29" s="1"/>
  <c r="L28"/>
  <c r="L29" s="1"/>
  <c r="M28"/>
  <c r="M29" s="1"/>
  <c r="N28"/>
  <c r="N29" s="1"/>
  <c r="O28"/>
  <c r="O29" s="1"/>
  <c r="P28"/>
  <c r="P29" s="1"/>
  <c r="E28"/>
  <c r="E29" s="1"/>
  <c r="A2"/>
  <c r="B2" i="44"/>
  <c r="B2" i="42"/>
  <c r="D58"/>
  <c r="D59" s="1"/>
  <c r="D68" s="1"/>
  <c r="K57"/>
  <c r="J57"/>
  <c r="I57"/>
  <c r="H57"/>
  <c r="G57"/>
  <c r="F57"/>
  <c r="E57"/>
  <c r="D23" i="44"/>
  <c r="A20"/>
  <c r="D25"/>
  <c r="D26" s="1"/>
  <c r="D22"/>
  <c r="A6"/>
  <c r="G40"/>
  <c r="B40"/>
  <c r="D9"/>
  <c r="D10" s="1"/>
  <c r="D8"/>
  <c r="P19" i="34"/>
  <c r="O19"/>
  <c r="N19"/>
  <c r="M19"/>
  <c r="L19"/>
  <c r="K19"/>
  <c r="J19"/>
  <c r="I19"/>
  <c r="H19"/>
  <c r="G19"/>
  <c r="F19"/>
  <c r="E19"/>
  <c r="E33" i="25"/>
  <c r="E32" s="1"/>
  <c r="E37"/>
  <c r="E35" s="1"/>
  <c r="D37"/>
  <c r="D35" s="1"/>
  <c r="D66" i="36"/>
  <c r="F66" s="1"/>
  <c r="D65"/>
  <c r="F65" s="1"/>
  <c r="H72"/>
  <c r="I72" s="1"/>
  <c r="E28"/>
  <c r="E46" s="1"/>
  <c r="B56" i="24"/>
  <c r="B55"/>
  <c r="B39"/>
  <c r="B38"/>
  <c r="G80" i="21" s="1"/>
  <c r="I80" s="1"/>
  <c r="F56" i="24"/>
  <c r="E56"/>
  <c r="H62" i="21"/>
  <c r="H61" s="1"/>
  <c r="E18" i="25" s="1"/>
  <c r="E62" i="21"/>
  <c r="E61" s="1"/>
  <c r="D18" i="25" s="1"/>
  <c r="G65" i="21"/>
  <c r="I65" s="1"/>
  <c r="G66"/>
  <c r="I66" s="1"/>
  <c r="G67"/>
  <c r="I67" s="1"/>
  <c r="G68"/>
  <c r="I68" s="1"/>
  <c r="G64"/>
  <c r="I64" s="1"/>
  <c r="D65"/>
  <c r="F65" s="1"/>
  <c r="D66"/>
  <c r="F66" s="1"/>
  <c r="D67"/>
  <c r="F67" s="1"/>
  <c r="D68"/>
  <c r="F68" s="1"/>
  <c r="D64"/>
  <c r="G74"/>
  <c r="I74" s="1"/>
  <c r="F11" i="24"/>
  <c r="E11"/>
  <c r="F55"/>
  <c r="E55"/>
  <c r="G71" i="21"/>
  <c r="I71" s="1"/>
  <c r="G72"/>
  <c r="I72" s="1"/>
  <c r="G73"/>
  <c r="I73" s="1"/>
  <c r="B74"/>
  <c r="G70"/>
  <c r="I70" s="1"/>
  <c r="D71"/>
  <c r="F71" s="1"/>
  <c r="D72"/>
  <c r="F72" s="1"/>
  <c r="D73"/>
  <c r="F73" s="1"/>
  <c r="D74"/>
  <c r="F74" s="1"/>
  <c r="D70"/>
  <c r="F70" s="1"/>
  <c r="F32" i="24"/>
  <c r="F31" s="1"/>
  <c r="E31"/>
  <c r="F49"/>
  <c r="F48" s="1"/>
  <c r="E49"/>
  <c r="E48" s="1"/>
  <c r="D33" i="25"/>
  <c r="E10" i="24" s="1"/>
  <c r="E22" s="1"/>
  <c r="F29"/>
  <c r="F70"/>
  <c r="F71"/>
  <c r="F72"/>
  <c r="F74"/>
  <c r="E71"/>
  <c r="E72"/>
  <c r="E73"/>
  <c r="E74"/>
  <c r="E70"/>
  <c r="F64"/>
  <c r="F60" s="1"/>
  <c r="F61" s="1"/>
  <c r="E64"/>
  <c r="E60" s="1"/>
  <c r="E14"/>
  <c r="F14"/>
  <c r="G4" i="36"/>
  <c r="E24" i="24"/>
  <c r="K19" i="42"/>
  <c r="J19"/>
  <c r="J27"/>
  <c r="F19"/>
  <c r="G19"/>
  <c r="E19"/>
  <c r="E27"/>
  <c r="D7"/>
  <c r="D9" s="1"/>
  <c r="D6"/>
  <c r="D8" s="1"/>
  <c r="K10"/>
  <c r="J35"/>
  <c r="E10"/>
  <c r="F10"/>
  <c r="G10"/>
  <c r="H10"/>
  <c r="I10"/>
  <c r="J10"/>
  <c r="E9" i="34"/>
  <c r="F9"/>
  <c r="G9"/>
  <c r="H9"/>
  <c r="I9"/>
  <c r="J9"/>
  <c r="K9"/>
  <c r="L9"/>
  <c r="M9"/>
  <c r="N9"/>
  <c r="O9"/>
  <c r="P9"/>
  <c r="D11"/>
  <c r="E12"/>
  <c r="F12"/>
  <c r="G12"/>
  <c r="H12"/>
  <c r="I12"/>
  <c r="J12"/>
  <c r="K12"/>
  <c r="L12"/>
  <c r="M12"/>
  <c r="N12"/>
  <c r="O12"/>
  <c r="P12"/>
  <c r="D13"/>
  <c r="D14"/>
  <c r="F15"/>
  <c r="G15"/>
  <c r="H15"/>
  <c r="I15"/>
  <c r="J15"/>
  <c r="K15"/>
  <c r="L15"/>
  <c r="M15"/>
  <c r="N15"/>
  <c r="O15"/>
  <c r="P15"/>
  <c r="D16"/>
  <c r="D17"/>
  <c r="D20"/>
  <c r="D21"/>
  <c r="D36"/>
  <c r="D31"/>
  <c r="D32"/>
  <c r="D34"/>
  <c r="D39"/>
  <c r="E41"/>
  <c r="E43" s="1"/>
  <c r="E44" s="1"/>
  <c r="F41"/>
  <c r="F43" s="1"/>
  <c r="F44" s="1"/>
  <c r="G41"/>
  <c r="G43" s="1"/>
  <c r="H41"/>
  <c r="H43" s="1"/>
  <c r="H44" s="1"/>
  <c r="I41"/>
  <c r="I43" s="1"/>
  <c r="I44" s="1"/>
  <c r="J41"/>
  <c r="J43" s="1"/>
  <c r="J44" s="1"/>
  <c r="K43"/>
  <c r="K44" s="1"/>
  <c r="L41"/>
  <c r="L43" s="1"/>
  <c r="L44" s="1"/>
  <c r="M41"/>
  <c r="M43" s="1"/>
  <c r="M44" s="1"/>
  <c r="N41"/>
  <c r="N43" s="1"/>
  <c r="N44" s="1"/>
  <c r="O41"/>
  <c r="O43" s="1"/>
  <c r="O44" s="1"/>
  <c r="P41"/>
  <c r="P43" s="1"/>
  <c r="P44" s="1"/>
  <c r="D42"/>
  <c r="D45"/>
  <c r="D46"/>
  <c r="B4" i="29"/>
  <c r="E11"/>
  <c r="E14" s="1"/>
  <c r="F14"/>
  <c r="E34"/>
  <c r="A52"/>
  <c r="D52"/>
  <c r="B53"/>
  <c r="E53"/>
  <c r="B3" i="25"/>
  <c r="E7"/>
  <c r="E12" s="1"/>
  <c r="F9" i="24" s="1"/>
  <c r="F21" s="1"/>
  <c r="F46" s="1"/>
  <c r="D51" i="25"/>
  <c r="E51"/>
  <c r="D54"/>
  <c r="D50" s="1"/>
  <c r="E54"/>
  <c r="A66"/>
  <c r="B67"/>
  <c r="D67"/>
  <c r="B84" i="24"/>
  <c r="B90"/>
  <c r="E96"/>
  <c r="E102"/>
  <c r="F102"/>
  <c r="A138"/>
  <c r="C138"/>
  <c r="B139"/>
  <c r="D139"/>
  <c r="B5" i="35"/>
  <c r="F15"/>
  <c r="F13" s="1"/>
  <c r="G15"/>
  <c r="G18" s="1"/>
  <c r="C29"/>
  <c r="E29" s="1"/>
  <c r="F29"/>
  <c r="G30"/>
  <c r="G31"/>
  <c r="G33"/>
  <c r="C34"/>
  <c r="E34" s="1"/>
  <c r="F34"/>
  <c r="G35"/>
  <c r="G36"/>
  <c r="G37"/>
  <c r="G38"/>
  <c r="G39"/>
  <c r="G40"/>
  <c r="G41"/>
  <c r="G42"/>
  <c r="G43"/>
  <c r="A52"/>
  <c r="E52"/>
  <c r="B54"/>
  <c r="F54"/>
  <c r="B2" i="36"/>
  <c r="E7"/>
  <c r="E6" s="1"/>
  <c r="G7"/>
  <c r="G6" s="1"/>
  <c r="H7"/>
  <c r="H6" s="1"/>
  <c r="H25"/>
  <c r="H24" s="1"/>
  <c r="D26"/>
  <c r="D44" s="1"/>
  <c r="E26"/>
  <c r="E44" s="1"/>
  <c r="D27"/>
  <c r="D45" s="1"/>
  <c r="E27"/>
  <c r="E45" s="1"/>
  <c r="G25"/>
  <c r="D29"/>
  <c r="D47" s="1"/>
  <c r="D30"/>
  <c r="D48" s="1"/>
  <c r="E30"/>
  <c r="E48" s="1"/>
  <c r="D31"/>
  <c r="D49" s="1"/>
  <c r="E31"/>
  <c r="E49" s="1"/>
  <c r="D32"/>
  <c r="G65" s="1"/>
  <c r="I65" s="1"/>
  <c r="E32"/>
  <c r="E50" s="1"/>
  <c r="D33"/>
  <c r="D51" s="1"/>
  <c r="E33"/>
  <c r="E51" s="1"/>
  <c r="G43"/>
  <c r="G42" s="1"/>
  <c r="H43"/>
  <c r="H42" s="1"/>
  <c r="E47"/>
  <c r="F71"/>
  <c r="H71"/>
  <c r="I71" s="1"/>
  <c r="F72"/>
  <c r="B3" i="21"/>
  <c r="F14"/>
  <c r="I14"/>
  <c r="F15"/>
  <c r="I15"/>
  <c r="F17"/>
  <c r="I17"/>
  <c r="F19"/>
  <c r="I19"/>
  <c r="F20"/>
  <c r="I20"/>
  <c r="F22"/>
  <c r="I22"/>
  <c r="F23"/>
  <c r="I23"/>
  <c r="D24"/>
  <c r="E24"/>
  <c r="G24"/>
  <c r="H24"/>
  <c r="F25"/>
  <c r="I25"/>
  <c r="F26"/>
  <c r="I26"/>
  <c r="D27"/>
  <c r="E27"/>
  <c r="G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B68"/>
  <c r="F75"/>
  <c r="F76"/>
  <c r="F77"/>
  <c r="F78"/>
  <c r="F27" i="35"/>
  <c r="D61" i="36"/>
  <c r="D30" i="34"/>
  <c r="D28" i="36"/>
  <c r="D46" s="1"/>
  <c r="M22" i="34"/>
  <c r="F10" i="24"/>
  <c r="F22" s="1"/>
  <c r="G61" i="36"/>
  <c r="G27" i="35"/>
  <c r="K24" i="34"/>
  <c r="H24"/>
  <c r="G75" i="36"/>
  <c r="P24" i="34"/>
  <c r="D27" i="42"/>
  <c r="F39" i="24"/>
  <c r="E44" i="25"/>
  <c r="E45" s="1"/>
  <c r="E42"/>
  <c r="E43"/>
  <c r="D44"/>
  <c r="D45" s="1"/>
  <c r="D43"/>
  <c r="D42"/>
  <c r="G5" i="21"/>
  <c r="D6" i="25"/>
  <c r="D49" s="1"/>
  <c r="D5" i="21"/>
  <c r="B8" i="44"/>
  <c r="B22" s="1"/>
  <c r="A12"/>
  <c r="A28" s="1"/>
  <c r="I75" i="21" l="1"/>
  <c r="I77"/>
  <c r="I78"/>
  <c r="I76"/>
  <c r="O24" i="34"/>
  <c r="D23"/>
  <c r="D22" s="1"/>
  <c r="E24"/>
  <c r="I27" i="42"/>
  <c r="D81" i="21"/>
  <c r="F81" s="1"/>
  <c r="G84"/>
  <c r="I84" s="1"/>
  <c r="I13"/>
  <c r="F22" i="34"/>
  <c r="J24"/>
  <c r="F69" i="24"/>
  <c r="F73" i="36"/>
  <c r="G66"/>
  <c r="I66" s="1"/>
  <c r="D9" i="34"/>
  <c r="G83" i="21"/>
  <c r="G82" s="1"/>
  <c r="I82" s="1"/>
  <c r="N24" i="34"/>
  <c r="D37" i="44"/>
  <c r="D14" i="42"/>
  <c r="D39"/>
  <c r="F24" i="21"/>
  <c r="F20" i="24"/>
  <c r="F63"/>
  <c r="D11" i="21"/>
  <c r="D12" s="1"/>
  <c r="E50" i="25"/>
  <c r="E69" i="24"/>
  <c r="E68" s="1"/>
  <c r="F94"/>
  <c r="D41" i="34"/>
  <c r="F18" i="35"/>
  <c r="F21" s="1"/>
  <c r="F15" i="29"/>
  <c r="G85" i="21"/>
  <c r="I85" s="1"/>
  <c r="D69"/>
  <c r="F69" s="1"/>
  <c r="G24" i="36"/>
  <c r="D64"/>
  <c r="D50"/>
  <c r="E7" i="29"/>
  <c r="A4" i="34"/>
  <c r="L4" s="1"/>
  <c r="D32" i="25"/>
  <c r="D67" i="36"/>
  <c r="F67" s="1"/>
  <c r="D19" i="34"/>
  <c r="F7" i="29"/>
  <c r="A4" i="45"/>
  <c r="F96" i="24"/>
  <c r="F13" i="21"/>
  <c r="F18"/>
  <c r="F23" i="29"/>
  <c r="F21"/>
  <c r="F57" i="24"/>
  <c r="G63" i="21"/>
  <c r="I63" s="1"/>
  <c r="D15" i="34"/>
  <c r="D12"/>
  <c r="I18" i="21"/>
  <c r="G11"/>
  <c r="G12" s="1"/>
  <c r="D10" i="42"/>
  <c r="H70" i="36"/>
  <c r="I70" s="1"/>
  <c r="F70"/>
  <c r="F64" i="21"/>
  <c r="D63"/>
  <c r="K4" i="34"/>
  <c r="E6" i="25"/>
  <c r="G13" i="35"/>
  <c r="G21" s="1"/>
  <c r="G24" i="34"/>
  <c r="D4" i="42"/>
  <c r="I22" i="34"/>
  <c r="I14" i="42"/>
  <c r="H11" i="21"/>
  <c r="H10" s="1"/>
  <c r="G29" i="35"/>
  <c r="E15" i="29"/>
  <c r="G69" i="21"/>
  <c r="I69" s="1"/>
  <c r="D23" i="42"/>
  <c r="D35"/>
  <c r="D28" i="25"/>
  <c r="J4" i="34"/>
  <c r="I27" i="21"/>
  <c r="I24"/>
  <c r="G81"/>
  <c r="I81" s="1"/>
  <c r="D25" i="36"/>
  <c r="G64" s="1"/>
  <c r="I64" s="1"/>
  <c r="E25"/>
  <c r="E24" s="1"/>
  <c r="G67" s="1"/>
  <c r="D24"/>
  <c r="F64"/>
  <c r="D6"/>
  <c r="I34" i="42"/>
  <c r="I23"/>
  <c r="I35" s="1"/>
  <c r="F27" i="21"/>
  <c r="E11"/>
  <c r="E10" s="1"/>
  <c r="G53" i="36"/>
  <c r="F28" i="35"/>
  <c r="D19" i="42"/>
  <c r="I19"/>
  <c r="D57"/>
  <c r="E43" i="36"/>
  <c r="E42" s="1"/>
  <c r="D43"/>
  <c r="G34" i="35"/>
  <c r="F85" i="24"/>
  <c r="D40" i="34"/>
  <c r="D28"/>
  <c r="D84" i="21"/>
  <c r="F84" s="1"/>
  <c r="E57" i="24"/>
  <c r="F37" i="44" s="1"/>
  <c r="E37" s="1"/>
  <c r="E61" i="24"/>
  <c r="E63"/>
  <c r="E21" i="29"/>
  <c r="I83" i="21"/>
  <c r="H73" i="36"/>
  <c r="E11" i="25"/>
  <c r="F18" i="24"/>
  <c r="D43" i="34"/>
  <c r="G44"/>
  <c r="D44" s="1"/>
  <c r="D29"/>
  <c r="E9" i="24"/>
  <c r="E8" s="1"/>
  <c r="E27" i="29" s="1"/>
  <c r="D11" i="25"/>
  <c r="G79" i="21"/>
  <c r="C28" i="35"/>
  <c r="E28" s="1"/>
  <c r="F93" i="24"/>
  <c r="F19"/>
  <c r="F47"/>
  <c r="F45" s="1"/>
  <c r="E19"/>
  <c r="E47"/>
  <c r="D24" i="34" l="1"/>
  <c r="F4"/>
  <c r="N4"/>
  <c r="H4"/>
  <c r="E4"/>
  <c r="O4"/>
  <c r="I4"/>
  <c r="D42" i="36"/>
  <c r="E85" i="24"/>
  <c r="E109" s="1"/>
  <c r="G4" i="34"/>
  <c r="P4"/>
  <c r="M4"/>
  <c r="E17" i="25"/>
  <c r="E16" s="1"/>
  <c r="O4" i="45"/>
  <c r="J4"/>
  <c r="I4"/>
  <c r="H4"/>
  <c r="P4"/>
  <c r="K4"/>
  <c r="F4"/>
  <c r="N4"/>
  <c r="E4"/>
  <c r="M4"/>
  <c r="L4"/>
  <c r="G4"/>
  <c r="H12" i="21"/>
  <c r="I12" s="1"/>
  <c r="G62"/>
  <c r="I62" s="1"/>
  <c r="F24" i="29"/>
  <c r="F42" i="24" s="1"/>
  <c r="F68"/>
  <c r="I11" i="21"/>
  <c r="D62"/>
  <c r="F62" s="1"/>
  <c r="F63"/>
  <c r="E49" i="25"/>
  <c r="E28"/>
  <c r="E12" i="21"/>
  <c r="F12" s="1"/>
  <c r="D17" i="25"/>
  <c r="D16" s="1"/>
  <c r="F11" i="21"/>
  <c r="G28" i="35"/>
  <c r="F8" i="24"/>
  <c r="F27" i="29" s="1"/>
  <c r="I79" i="21"/>
  <c r="I73" i="36"/>
  <c r="E21" i="24"/>
  <c r="E18" s="1"/>
  <c r="I67" i="36"/>
  <c r="G61" i="21" l="1"/>
  <c r="I61" s="1"/>
  <c r="G17" i="36" s="1"/>
  <c r="F25" i="29"/>
  <c r="F26" s="1"/>
  <c r="F91" i="24"/>
  <c r="F43"/>
  <c r="E46"/>
  <c r="E45" s="1"/>
  <c r="E20"/>
  <c r="F109"/>
  <c r="F92"/>
  <c r="G35" i="36" l="1"/>
  <c r="F58" i="24"/>
  <c r="F20" i="29"/>
  <c r="G10" i="21"/>
  <c r="I10" s="1"/>
  <c r="F108" i="24"/>
  <c r="F116"/>
  <c r="H74" i="36"/>
  <c r="I74" s="1"/>
  <c r="D34"/>
  <c r="G68" s="1"/>
  <c r="E75"/>
  <c r="F74"/>
  <c r="H75"/>
  <c r="E58" i="24"/>
  <c r="E20" i="29"/>
  <c r="E108" i="24"/>
  <c r="E115" s="1"/>
  <c r="F17"/>
  <c r="E17"/>
  <c r="F40" l="1"/>
  <c r="F19" i="29"/>
  <c r="F41" i="24" s="1"/>
  <c r="F115"/>
  <c r="F107"/>
  <c r="D52" i="36"/>
  <c r="D53" s="1"/>
  <c r="D35"/>
  <c r="A20" s="1"/>
  <c r="I75"/>
  <c r="H76"/>
  <c r="H9" i="21" s="1"/>
  <c r="I68" i="36"/>
  <c r="G69"/>
  <c r="F106" i="24" s="1"/>
  <c r="E76" i="36"/>
  <c r="E9" i="21" s="1"/>
  <c r="F75" i="36"/>
  <c r="E107" i="24"/>
  <c r="E19" i="29"/>
  <c r="E41" i="24" s="1"/>
  <c r="E40"/>
  <c r="F114" l="1"/>
  <c r="F105"/>
  <c r="F110" s="1"/>
  <c r="A38" i="36"/>
  <c r="D15" i="25"/>
  <c r="D14" s="1"/>
  <c r="E8" i="21"/>
  <c r="G76" i="36"/>
  <c r="I69"/>
  <c r="A59" s="1"/>
  <c r="E15" i="25"/>
  <c r="E14" s="1"/>
  <c r="H8" i="21"/>
  <c r="E23" i="29"/>
  <c r="E24" s="1"/>
  <c r="E42" i="24" s="1"/>
  <c r="E91" s="1"/>
  <c r="E39"/>
  <c r="F118" l="1"/>
  <c r="F120"/>
  <c r="G9" i="21"/>
  <c r="I76" i="36"/>
  <c r="D80" i="21"/>
  <c r="E93" i="24"/>
  <c r="D83" i="21"/>
  <c r="D82" s="1"/>
  <c r="F82" s="1"/>
  <c r="E94" i="24"/>
  <c r="E43"/>
  <c r="F119" l="1"/>
  <c r="F121" s="1"/>
  <c r="F113"/>
  <c r="I9" i="21"/>
  <c r="G8"/>
  <c r="I8" s="1"/>
  <c r="E25" i="29"/>
  <c r="E26" s="1"/>
  <c r="E92" i="24"/>
  <c r="F80" i="21"/>
  <c r="D79"/>
  <c r="F112" i="24" l="1"/>
  <c r="F111" s="1"/>
  <c r="F122"/>
  <c r="F124" s="1"/>
  <c r="E20" i="25" s="1"/>
  <c r="E23" s="1"/>
  <c r="F79" i="21"/>
  <c r="D61"/>
  <c r="E13" i="25" l="1"/>
  <c r="E19"/>
  <c r="E60"/>
  <c r="F125" i="24"/>
  <c r="E41" i="25" s="1"/>
  <c r="F123" i="24"/>
  <c r="F61" i="21"/>
  <c r="D10"/>
  <c r="E116" i="24"/>
  <c r="E24" i="25" l="1"/>
  <c r="E61"/>
  <c r="E21"/>
  <c r="E22"/>
  <c r="E40"/>
  <c r="E34"/>
  <c r="D68" i="36"/>
  <c r="D69" s="1"/>
  <c r="D76" s="1"/>
  <c r="D17"/>
  <c r="F10" i="21"/>
  <c r="E114" i="24"/>
  <c r="F68" i="36" l="1"/>
  <c r="E106" i="24" l="1"/>
  <c r="E105" s="1"/>
  <c r="E110" s="1"/>
  <c r="F69" i="36"/>
  <c r="F76" l="1"/>
  <c r="D9" i="21"/>
  <c r="E113" i="24" s="1"/>
  <c r="F9" i="21" l="1"/>
  <c r="D8"/>
  <c r="E112" i="24" s="1"/>
  <c r="E111" s="1"/>
  <c r="E118" l="1"/>
  <c r="E120"/>
  <c r="F8" i="21"/>
  <c r="E119" i="24" l="1"/>
  <c r="E121" s="1"/>
  <c r="E122" s="1"/>
  <c r="D60" i="25" l="1"/>
  <c r="E123" i="24"/>
  <c r="E125"/>
  <c r="D41" i="25" s="1"/>
  <c r="E124" i="24"/>
  <c r="D20" i="25" s="1"/>
  <c r="D23" s="1"/>
  <c r="D40" l="1"/>
  <c r="D34"/>
  <c r="D13"/>
  <c r="D19"/>
  <c r="D22" l="1"/>
  <c r="D21"/>
  <c r="D24"/>
  <c r="D61"/>
  <c r="D14" i="45"/>
  <c r="N12"/>
  <c r="M17"/>
  <c r="M15" s="1"/>
  <c r="M12"/>
  <c r="P12"/>
  <c r="O12"/>
  <c r="O17"/>
  <c r="O15" s="1"/>
  <c r="D17"/>
  <c r="L12"/>
  <c r="D12"/>
  <c r="N17"/>
  <c r="N15"/>
  <c r="P17"/>
  <c r="P15"/>
  <c r="L17"/>
  <c r="L15"/>
  <c r="D15" s="1"/>
  <c r="D11"/>
  <c r="M9"/>
  <c r="L9"/>
  <c r="D9" s="1"/>
  <c r="O9"/>
  <c r="N9"/>
  <c r="P9"/>
</calcChain>
</file>

<file path=xl/sharedStrings.xml><?xml version="1.0" encoding="utf-8"?>
<sst xmlns="http://schemas.openxmlformats.org/spreadsheetml/2006/main" count="1595" uniqueCount="778">
  <si>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</si>
  <si>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</si>
  <si>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</si>
  <si>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</si>
  <si>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</si>
  <si>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</si>
  <si>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</si>
  <si>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</si>
  <si>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</si>
  <si>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</si>
  <si>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</si>
  <si>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</si>
  <si>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</si>
  <si>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</si>
  <si>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</si>
  <si>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</si>
  <si>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</si>
  <si>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</si>
  <si>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</si>
  <si>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</si>
  <si>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</si>
  <si>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</si>
  <si>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</si>
  <si>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</si>
  <si>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</si>
  <si>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</si>
  <si>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</si>
  <si>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</si>
  <si>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</si>
  <si>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</si>
  <si>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</si>
  <si>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</si>
  <si>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</si>
  <si>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</si>
  <si>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</si>
  <si>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</si>
  <si>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</si>
  <si>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</si>
  <si>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</si>
  <si>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</si>
  <si>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</si>
  <si>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</si>
  <si>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</si>
  <si>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</si>
  <si>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</si>
  <si>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</si>
  <si>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</si>
  <si>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</si>
  <si>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</si>
  <si>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</si>
  <si>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</si>
  <si>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</si>
  <si>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</si>
  <si>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</si>
  <si>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</si>
  <si>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</si>
  <si>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</si>
  <si>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</si>
  <si>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</si>
  <si>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</si>
  <si>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</si>
  <si>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</si>
  <si>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</si>
  <si>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</si>
  <si>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</si>
  <si>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</si>
  <si>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</si>
  <si>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</si>
  <si>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</si>
  <si>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</si>
  <si>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</si>
  <si>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</si>
  <si>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</si>
  <si>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</si>
  <si>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</si>
  <si>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</si>
  <si>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</si>
  <si>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</si>
  <si>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</si>
  <si>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</si>
  <si>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</si>
  <si>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</si>
  <si>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</si>
  <si>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</si>
  <si>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</si>
  <si>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</si>
  <si>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</si>
  <si>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</si>
  <si>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</si>
  <si>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</si>
  <si>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</si>
  <si>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</si>
  <si>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</si>
  <si>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</si>
  <si>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</si>
  <si>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</si>
  <si>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</si>
  <si>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</si>
  <si>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</si>
  <si>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</si>
  <si>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</si>
  <si>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</si>
  <si>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</si>
  <si>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</si>
  <si>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</si>
  <si>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</si>
  <si>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</si>
  <si>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</si>
  <si>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</si>
  <si>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</si>
  <si>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</si>
  <si>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</si>
  <si>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</si>
  <si>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</si>
  <si>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</si>
  <si>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</si>
  <si>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</si>
  <si>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</si>
  <si>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</si>
  <si>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</si>
  <si>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</si>
  <si>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</si>
  <si>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</si>
  <si>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</si>
  <si>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</si>
  <si>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</si>
  <si>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</si>
  <si>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</si>
  <si>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</si>
  <si>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</si>
  <si>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</si>
  <si>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</si>
  <si>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</si>
  <si>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</si>
  <si>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</si>
  <si>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</si>
  <si>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</si>
  <si>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</si>
  <si>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</si>
  <si>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</si>
  <si>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</si>
  <si>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</si>
  <si>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</si>
  <si>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</si>
  <si>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</si>
  <si>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</si>
  <si>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</si>
  <si>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</si>
  <si>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</si>
  <si>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</si>
  <si>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</si>
  <si>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</si>
  <si>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</si>
  <si>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</si>
  <si>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</si>
  <si>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</si>
  <si>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</si>
  <si>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</si>
  <si>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</si>
  <si>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</si>
  <si>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</si>
  <si>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</si>
  <si>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</si>
  <si>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</si>
  <si>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</si>
  <si>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</si>
  <si>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</si>
  <si>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</si>
  <si>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</si>
  <si>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</si>
  <si>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</si>
  <si>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</si>
  <si>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</si>
  <si>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</si>
  <si>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</si>
  <si>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</si>
  <si>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</si>
  <si>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</si>
  <si>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</si>
  <si>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</si>
  <si>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</si>
  <si>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</si>
  <si>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</si>
  <si>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</si>
  <si>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</si>
  <si>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</si>
  <si>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</si>
  <si>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</si>
  <si>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</si>
  <si>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</si>
  <si>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</si>
  <si>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</si>
  <si>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</si>
  <si>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</si>
  <si>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</si>
  <si>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</si>
  <si>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</si>
  <si>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</si>
  <si>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</si>
  <si>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</si>
  <si>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</si>
  <si>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</si>
  <si>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</si>
  <si>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</si>
  <si>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</si>
  <si>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</si>
  <si>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</si>
  <si>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</si>
  <si>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</si>
  <si>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</si>
  <si>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</si>
  <si>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</si>
  <si>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</si>
  <si>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</si>
  <si>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</si>
  <si>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</si>
  <si>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</si>
  <si>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</si>
  <si>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</si>
  <si>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</si>
  <si>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</si>
  <si>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</si>
  <si>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</si>
  <si>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</si>
  <si>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</si>
  <si>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</si>
  <si>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</si>
  <si>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</si>
  <si>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</si>
  <si>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</si>
  <si>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</si>
  <si>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</si>
  <si>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</si>
  <si>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</si>
  <si>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</si>
  <si>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</si>
  <si>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</si>
  <si>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</si>
  <si>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</si>
  <si>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</si>
  <si>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</si>
  <si>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</si>
  <si>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</si>
  <si>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</si>
  <si>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</si>
  <si>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</si>
  <si>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</si>
  <si>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</si>
  <si>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</si>
  <si>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</si>
  <si>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</si>
  <si>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</si>
  <si>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</si>
  <si>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</si>
  <si>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</si>
  <si>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</si>
  <si>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</si>
  <si>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</si>
  <si>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</si>
  <si>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</si>
  <si>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</si>
  <si>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</si>
  <si>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</si>
  <si>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</si>
  <si>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</si>
  <si>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</si>
  <si>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</si>
  <si>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</si>
  <si>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</si>
  <si>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</si>
  <si>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</si>
  <si>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</si>
  <si>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</si>
  <si>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</si>
  <si>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</si>
  <si>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</si>
  <si>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</si>
  <si>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</si>
  <si>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</si>
  <si>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</si>
  <si>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</si>
  <si>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</si>
  <si>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</si>
  <si>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</si>
  <si>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</si>
  <si>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</si>
  <si>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</si>
  <si>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</si>
  <si>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</si>
  <si>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</si>
  <si>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</si>
  <si>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</si>
  <si>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</si>
  <si>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</si>
  <si>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</si>
  <si>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</si>
  <si>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</si>
  <si>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</si>
  <si>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</si>
  <si>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</si>
  <si>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</si>
  <si>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</si>
  <si>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</si>
  <si>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</si>
  <si>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</si>
  <si>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</si>
  <si>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</si>
  <si>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</si>
  <si>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</si>
  <si>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</si>
  <si>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</si>
  <si>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</si>
  <si>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</si>
  <si>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</si>
  <si>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</si>
  <si>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</si>
  <si>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</si>
  <si>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</si>
  <si>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</si>
  <si>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</si>
  <si>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</si>
  <si>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</si>
  <si>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</si>
  <si>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</si>
  <si>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</si>
  <si>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</si>
  <si>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</si>
  <si>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</si>
  <si>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</si>
  <si>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</si>
  <si>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</si>
  <si>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</si>
  <si>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</si>
  <si>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</si>
  <si>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</si>
  <si>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</si>
  <si>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</si>
  <si>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</si>
  <si>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</si>
  <si>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</si>
  <si>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</si>
  <si>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</si>
  <si>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</si>
  <si>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</si>
  <si>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</si>
  <si>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</si>
  <si>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</si>
  <si>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</si>
  <si>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</si>
  <si>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</si>
  <si>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</si>
  <si>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</si>
  <si>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</si>
  <si>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</si>
  <si>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</si>
  <si>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</si>
  <si>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</si>
  <si>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</si>
  <si>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</si>
  <si>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</si>
  <si>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</si>
  <si>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</si>
  <si>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</si>
  <si>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</si>
  <si>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</si>
  <si>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</si>
  <si>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</si>
  <si>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</si>
  <si>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</si>
  <si>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</si>
  <si>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</si>
  <si>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</si>
  <si>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</si>
  <si>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</si>
  <si>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</si>
  <si>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</si>
  <si>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</si>
  <si>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</si>
  <si>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</si>
  <si>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</si>
  <si>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</si>
  <si>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</si>
  <si>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</si>
  <si>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</si>
  <si>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</si>
  <si>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</si>
  <si>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</si>
  <si>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</si>
  <si>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</si>
  <si>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</si>
  <si>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</si>
  <si>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</si>
  <si>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</si>
  <si>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</si>
  <si>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</si>
  <si>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</si>
  <si>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</si>
  <si>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</si>
  <si>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</si>
  <si>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</si>
  <si>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</si>
  <si>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</si>
  <si>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</si>
  <si>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</si>
  <si>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</si>
  <si>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</si>
  <si>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</si>
  <si>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</si>
  <si>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</si>
  <si>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</si>
  <si>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</si>
  <si>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</si>
  <si>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</si>
  <si>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</si>
  <si>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</si>
  <si>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</si>
  <si>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</si>
  <si>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</si>
  <si>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</si>
  <si>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</si>
  <si>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</si>
  <si>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</si>
  <si>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</si>
  <si>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</si>
  <si>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</si>
  <si>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</si>
  <si>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</si>
  <si>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</si>
  <si>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</si>
  <si>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</si>
  <si>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</si>
  <si>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</si>
  <si>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</si>
  <si>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</si>
  <si>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</si>
  <si>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</si>
  <si>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</si>
  <si>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</si>
  <si>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</si>
  <si>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</si>
  <si>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</si>
  <si>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</si>
  <si>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</si>
  <si>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</si>
  <si>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</si>
  <si>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</si>
  <si>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</si>
  <si>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</si>
  <si>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</si>
  <si>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</si>
  <si>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</si>
  <si>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</si>
  <si>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</si>
  <si>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</si>
  <si>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</si>
  <si>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</si>
  <si>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</si>
  <si>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</si>
  <si>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</si>
  <si>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</si>
  <si>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</si>
  <si>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</si>
  <si>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</si>
  <si>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</si>
  <si>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</si>
  <si>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</si>
  <si>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</si>
  <si>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</si>
  <si>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</si>
  <si>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</si>
  <si>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</si>
  <si>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</si>
  <si>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</si>
  <si>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</si>
  <si>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</si>
  <si>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</si>
  <si>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</si>
  <si>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</si>
  <si>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</si>
  <si>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</si>
  <si>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</si>
  <si>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</si>
  <si>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</si>
  <si>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</si>
  <si>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</si>
  <si>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</si>
  <si>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</si>
  <si>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</si>
  <si>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</si>
  <si>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</si>
  <si>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</si>
  <si>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</si>
  <si>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</si>
  <si>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</si>
  <si>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</si>
  <si>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</si>
  <si>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</si>
  <si>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</si>
  <si>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</si>
  <si>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</si>
  <si>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</si>
  <si>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</si>
  <si>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</si>
  <si>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</si>
  <si>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</si>
  <si>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</si>
  <si>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</si>
  <si>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</si>
  <si>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</si>
  <si>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</si>
  <si>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</si>
  <si>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</si>
  <si>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</si>
  <si>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</si>
  <si>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</si>
  <si>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</si>
  <si>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</si>
  <si>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</si>
  <si>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</si>
  <si>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</si>
  <si>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</si>
  <si>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</si>
  <si>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</si>
  <si>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</si>
  <si>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</si>
  <si>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</si>
  <si>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</si>
  <si>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</si>
  <si>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</si>
  <si>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</si>
  <si>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</si>
  <si>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</si>
  <si>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</si>
  <si>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</si>
  <si>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</si>
  <si>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</si>
  <si>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</si>
  <si>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</si>
  <si>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</si>
  <si>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</si>
  <si>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</si>
  <si>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</si>
  <si>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</si>
  <si>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</si>
  <si>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</si>
  <si>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</si>
  <si>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</si>
  <si>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</si>
  <si>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</si>
  <si>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</si>
  <si>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</si>
  <si>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</si>
  <si>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</si>
  <si>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</si>
  <si>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</si>
  <si>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</si>
  <si>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</si>
  <si>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</si>
  <si>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</si>
  <si>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</si>
  <si>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</si>
  <si>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</si>
  <si>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</si>
  <si>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</si>
  <si>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</si>
  <si>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</si>
  <si>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</si>
  <si>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</si>
  <si>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</si>
  <si>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</si>
  <si>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</si>
  <si>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</si>
  <si>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</si>
  <si>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</si>
  <si>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</si>
  <si>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</si>
  <si>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</si>
  <si>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</si>
  <si>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</si>
  <si>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</si>
  <si>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</si>
  <si>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</si>
  <si>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</si>
  <si>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</si>
  <si>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</si>
  <si>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</si>
  <si>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</si>
  <si>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</si>
  <si>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</si>
  <si>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</si>
  <si>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</si>
  <si>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</si>
  <si>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</si>
  <si>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</si>
  <si>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</si>
  <si>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</si>
  <si>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</si>
  <si>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</si>
  <si>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</si>
  <si>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</si>
  <si>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</si>
  <si>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</si>
  <si>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</si>
  <si>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</si>
  <si>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</si>
  <si>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</si>
  <si>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</si>
  <si>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</si>
  <si>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</si>
  <si>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</si>
  <si>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</si>
  <si>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</si>
  <si>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</si>
  <si>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</si>
  <si>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</si>
  <si>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</si>
  <si>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</si>
  <si>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</si>
  <si>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</si>
  <si>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</si>
  <si>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</si>
  <si>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</si>
  <si>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</si>
  <si>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</si>
  <si>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</si>
  <si>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</si>
  <si>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</si>
  <si>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</si>
  <si>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</si>
  <si>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</si>
  <si>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</si>
  <si>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</si>
  <si>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</si>
  <si>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</si>
  <si>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</si>
  <si>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</si>
  <si>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</si>
  <si>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</si>
  <si>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</si>
  <si>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</si>
  <si>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</si>
  <si>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</si>
  <si>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</si>
  <si>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</si>
  <si>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</si>
  <si>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</si>
  <si>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</si>
  <si>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</si>
  <si>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</si>
  <si>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</si>
  <si>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</si>
  <si>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</si>
  <si>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</si>
  <si>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</si>
  <si>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</si>
  <si>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</si>
  <si>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</si>
  <si>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</si>
  <si>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</si>
  <si>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</si>
  <si>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</si>
  <si>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</si>
  <si>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</si>
  <si>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</si>
  <si>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</si>
  <si>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</si>
  <si>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</si>
  <si>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</si>
  <si>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</si>
  <si>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</si>
  <si>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</si>
  <si>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</si>
  <si>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</si>
  <si>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</si>
  <si>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</si>
  <si>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</si>
  <si>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</si>
  <si>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</si>
  <si>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</si>
  <si>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</si>
  <si>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</si>
  <si>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</si>
  <si>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</si>
  <si>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</si>
  <si>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</si>
  <si>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</si>
  <si>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</si>
  <si>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</si>
  <si>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</si>
  <si>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</si>
  <si>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</si>
  <si>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</si>
  <si>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</si>
  <si>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</si>
  <si>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</si>
  <si>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</si>
  <si>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</si>
  <si>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</si>
  <si>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</si>
  <si>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</si>
  <si>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</si>
  <si>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</si>
  <si>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</si>
  <si>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</si>
  <si>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</si>
  <si>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</si>
  <si>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</si>
  <si>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</si>
  <si>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</si>
  <si>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</si>
  <si>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</si>
  <si>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</si>
  <si>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</si>
  <si>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</si>
  <si>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</si>
  <si>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</si>
  <si>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</si>
  <si>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</si>
  <si>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</si>
  <si>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</si>
  <si>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</si>
  <si>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</si>
  <si>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</si>
  <si>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</si>
  <si>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</si>
  <si>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</si>
  <si>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</si>
  <si>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</si>
  <si>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</si>
  <si>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</si>
  <si>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</si>
  <si>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</si>
  <si>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</si>
  <si>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</si>
  <si>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</si>
  <si>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</si>
  <si>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</si>
  <si>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</si>
  <si>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</si>
  <si>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</si>
  <si>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</si>
  <si>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</si>
  <si>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</si>
  <si>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</si>
  <si>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</si>
  <si>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</si>
  <si>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</si>
  <si>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</si>
  <si>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</si>
  <si>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</si>
  <si>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</si>
  <si>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</si>
  <si>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</si>
  <si>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</si>
  <si>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</si>
  <si>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</si>
  <si>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</si>
  <si>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</si>
  <si>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</si>
  <si>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</si>
  <si>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</si>
  <si>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30.12.2024г.</t>
  </si>
  <si>
    <t>други разх услуги</t>
  </si>
  <si>
    <t>други материали</t>
  </si>
  <si>
    <t>БКЗ-210-140-ФВ</t>
  </si>
  <si>
    <t>ВПТ-50-130/7</t>
  </si>
  <si>
    <t xml:space="preserve"> други</t>
  </si>
  <si>
    <t>"БРИКЕЛ" ЕАД</t>
  </si>
  <si>
    <t>/ П.Маринова/</t>
  </si>
  <si>
    <t>/ Янилин Павлов /</t>
  </si>
  <si>
    <t>отписани вземания</t>
  </si>
  <si>
    <t>N-2806/21.11.2006г.</t>
  </si>
  <si>
    <t>N-000057/11.01.2010г.</t>
  </si>
  <si>
    <t>разходи за минали периоди</t>
  </si>
  <si>
    <t>ОТЧЕТ към 31.12.2020 г.</t>
  </si>
  <si>
    <t>Към 31.12.2020 г.</t>
  </si>
  <si>
    <t>Към 31.12.2021 г.</t>
  </si>
  <si>
    <t>Справка за Привлечен капитал към 31.12.2020 г.</t>
  </si>
</sst>
</file>

<file path=xl/styles.xml><?xml version="1.0" encoding="utf-8"?>
<styleSheet xmlns="http://schemas.openxmlformats.org/spreadsheetml/2006/main">
  <numFmts count="58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Акцизна топлина на горивото природен газ (при акциз в размер на &quot;0.00&quot; лв./GJ)&quot;"/>
    <numFmt numFmtId="194" formatCode="&quot;Акцизна топлина на горивото пр. газ за ТЕ-РП (при акциз в размер на &quot;0.00&quot; лв./GJ)&quot;"/>
    <numFmt numFmtId="195" formatCode="&quot;Акцизна топлина на горивото въглища за ТЕ-РП (при акциз в размер на &quot;0.00&quot; лв./GJ)&quot;"/>
    <numFmt numFmtId="196" formatCode="&quot;Акцизна топлина на горивото въглища за ТЕ-КП (при акциз в размер на &quot;0.00&quot; лв./GJ)&quot;"/>
    <numFmt numFmtId="197" formatCode="&quot;Акцизна топлина на горивото природен газ общо (при акциз в размер на &quot;0.00&quot; лв./GJ)&quot;"/>
    <numFmt numFmtId="198" formatCode="&quot;Акцизна топлина на горивото въглища за ТЕ общо (при акциз в размер на &quot;0.00&quot; лв./GJ)&quot;"/>
    <numFmt numFmtId="199" formatCode="&quot;Цена за комбинирана електрическа енергия (за изгр. мощност преди изм. ЗЕ &quot;0&quot; г.)&quot;"/>
    <numFmt numFmtId="200" formatCode="&quot;ПРОГНОЗА &quot;yyyy\ &quot;г.&quot;"/>
    <numFmt numFmtId="201" formatCode="&quot; * &quot;0&quot; =&quot;"/>
    <numFmt numFmtId="202" formatCode="&quot;- &quot;#,##0&quot;) /&quot;"/>
    <numFmt numFmtId="203" formatCode="&quot;= (&quot;#,##0&quot; *&quot;"/>
    <numFmt numFmtId="204" formatCode="&quot;ДВИГАТЕЛИ С ВЪТРЕШНО ГОРЕНЕ (ДВГ) (qe = &quot;#,##0&quot; kcal/kWh)&quot;"/>
    <numFmt numFmtId="205" formatCode="&quot;ГТ с КУ (qe = &quot;#,##0&quot; kcal/kWh)&quot;"/>
    <numFmt numFmtId="206" formatCode="&quot;ГТ с КУ и ПТ (ПГЦ) (qe = &quot;#,##0&quot; kcal/kWh)&quot;"/>
    <numFmt numFmtId="207" formatCode="&quot;ОТЧЕТ за &quot;0&quot; г.&quot;"/>
    <numFmt numFmtId="208" formatCode="&quot;ПРОГНОЗА от &quot;0.0000&quot; г.&quot;"/>
    <numFmt numFmtId="209" formatCode="&quot;Справка за Привлечен капитал  към &quot;0.0000&quot; г.&quot;"/>
    <numFmt numFmtId="210" formatCode="&quot;Към &quot;0.0000&quot; г.&quot;"/>
    <numFmt numFmtId="211" formatCode="&quot;ПРОГНОЗНИ ПАРАМЕТРИ &quot;0.0000&quot; г.&quot;"/>
    <numFmt numFmtId="212" formatCode="&quot;ОТЧЕТ за НРП от &quot;0&quot; г.&quot;"/>
    <numFmt numFmtId="213" formatCode="&quot;от &quot;0&quot; г.&quot;"/>
    <numFmt numFmtId="214" formatCode="&quot;КОЛИЧЕСТВЕНИ ПОКАЗАТЕЛИ ЗА ПРОИЗВОДИТЕЛЯ - &quot;0&quot; г.&quot;"/>
    <numFmt numFmtId="215" formatCode="&quot;ПРОГНОЗА от &quot;0&quot; г.&quot;"/>
    <numFmt numFmtId="216" formatCode="&quot;към &quot;0&quot; г.&quot;"/>
    <numFmt numFmtId="217" formatCode="&quot;ПРОГНОЗНИ ПАРАМЕТРИ НРП от &quot;0&quot; г.&quot;"/>
    <numFmt numFmtId="218" formatCode="&quot;ПРОГНОЗА за НРП от &quot;0&quot; г.&quot;"/>
    <numFmt numFmtId="219" formatCode="&quot;ПОКАЗАТЕЛИ ЗА ПРОИЗВОДИТЕЛЯ  И ПРЕНОСА - &quot;0&quot; г.&quot;"/>
    <numFmt numFmtId="220" formatCode="&quot;НАЛИЧНОСТ КЪМ &quot;0&quot; г.&quot;"/>
    <numFmt numFmtId="221" formatCode="&quot;ПРОГНОЗА &quot;0&quot; г.&quot;"/>
  </numFmts>
  <fonts count="90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00"/>
      <name val="Courier New"/>
      <family val="3"/>
      <charset val="204"/>
    </font>
    <font>
      <sz val="8"/>
      <color rgb="FFFF0000"/>
      <name val="Times New Roman"/>
      <family val="1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73" fontId="2" fillId="0" borderId="0"/>
    <xf numFmtId="0" fontId="1" fillId="0" borderId="0"/>
    <xf numFmtId="0" fontId="89" fillId="0" borderId="0"/>
  </cellStyleXfs>
  <cellXfs count="876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3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4" fillId="3" borderId="5" xfId="0" applyNumberFormat="1" applyFont="1" applyFill="1" applyBorder="1" applyAlignment="1" applyProtection="1">
      <alignment horizontal="right" vertical="center"/>
    </xf>
    <xf numFmtId="3" fontId="64" fillId="3" borderId="10" xfId="0" applyNumberFormat="1" applyFont="1" applyFill="1" applyBorder="1" applyAlignment="1" applyProtection="1">
      <alignment horizontal="right" vertical="center"/>
    </xf>
    <xf numFmtId="3" fontId="65" fillId="3" borderId="1" xfId="0" applyNumberFormat="1" applyFont="1" applyFill="1" applyBorder="1" applyAlignment="1" applyProtection="1">
      <alignment horizontal="right" vertical="center"/>
    </xf>
    <xf numFmtId="3" fontId="65" fillId="0" borderId="1" xfId="0" applyNumberFormat="1" applyFont="1" applyBorder="1" applyAlignment="1" applyProtection="1">
      <alignment horizontal="right" vertical="center"/>
    </xf>
    <xf numFmtId="3" fontId="65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66" fillId="0" borderId="1" xfId="0" applyFont="1" applyBorder="1" applyProtection="1">
      <protection hidden="1"/>
    </xf>
    <xf numFmtId="0" fontId="66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7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6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9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70" fillId="3" borderId="1" xfId="0" applyNumberFormat="1" applyFont="1" applyFill="1" applyBorder="1" applyAlignment="1" applyProtection="1">
      <alignment horizontal="center"/>
      <protection hidden="1"/>
    </xf>
    <xf numFmtId="170" fontId="70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Fill="1" applyBorder="1" applyAlignment="1" applyProtection="1">
      <alignment vertical="center"/>
      <protection hidden="1"/>
    </xf>
    <xf numFmtId="3" fontId="72" fillId="0" borderId="2" xfId="0" applyNumberFormat="1" applyFont="1" applyFill="1" applyBorder="1" applyAlignment="1" applyProtection="1">
      <alignment vertical="center"/>
      <protection hidden="1"/>
    </xf>
    <xf numFmtId="0" fontId="73" fillId="3" borderId="1" xfId="0" applyFont="1" applyFill="1" applyBorder="1" applyAlignment="1" applyProtection="1">
      <alignment vertical="center"/>
      <protection hidden="1"/>
    </xf>
    <xf numFmtId="0" fontId="66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3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2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3" fontId="63" fillId="3" borderId="1" xfId="0" applyNumberFormat="1" applyFont="1" applyFill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6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4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7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4" fontId="64" fillId="0" borderId="8" xfId="0" applyNumberFormat="1" applyFont="1" applyBorder="1" applyAlignment="1" applyProtection="1">
      <alignment vertical="center"/>
      <protection hidden="1"/>
    </xf>
    <xf numFmtId="3" fontId="78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9" fillId="0" borderId="1" xfId="0" applyNumberFormat="1" applyFont="1" applyBorder="1" applyAlignment="1" applyProtection="1">
      <alignment vertical="center"/>
      <protection hidden="1"/>
    </xf>
    <xf numFmtId="199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80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7" fontId="7" fillId="6" borderId="1" xfId="0" applyNumberFormat="1" applyFont="1" applyFill="1" applyBorder="1" applyAlignment="1" applyProtection="1">
      <alignment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2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3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2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3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6" fillId="0" borderId="2" xfId="0" applyNumberFormat="1" applyFont="1" applyBorder="1" applyAlignment="1" applyProtection="1">
      <alignment vertical="center"/>
      <protection hidden="1"/>
    </xf>
    <xf numFmtId="2" fontId="64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3" fillId="0" borderId="28" xfId="0" applyNumberFormat="1" applyFont="1" applyFill="1" applyBorder="1" applyAlignment="1" applyProtection="1">
      <alignment vertical="center"/>
      <protection hidden="1"/>
    </xf>
    <xf numFmtId="4" fontId="64" fillId="0" borderId="18" xfId="0" applyNumberFormat="1" applyFont="1" applyBorder="1" applyAlignment="1" applyProtection="1">
      <alignment vertical="center"/>
      <protection hidden="1"/>
    </xf>
    <xf numFmtId="3" fontId="78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1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80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1" fillId="0" borderId="29" xfId="0" applyNumberFormat="1" applyFont="1" applyBorder="1" applyAlignment="1" applyProtection="1">
      <alignment vertical="center"/>
      <protection hidden="1"/>
    </xf>
    <xf numFmtId="2" fontId="81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2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0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2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1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2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08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0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1" fontId="4" fillId="0" borderId="1" xfId="0" applyNumberFormat="1" applyFont="1" applyBorder="1" applyAlignment="1" applyProtection="1">
      <alignment vertical="top" wrapText="1"/>
      <protection hidden="1"/>
    </xf>
    <xf numFmtId="211" fontId="4" fillId="0" borderId="1" xfId="0" applyNumberFormat="1" applyFont="1" applyBorder="1" applyAlignment="1" applyProtection="1">
      <alignment vertical="top"/>
      <protection hidden="1"/>
    </xf>
    <xf numFmtId="211" fontId="4" fillId="0" borderId="1" xfId="0" applyNumberFormat="1" applyFont="1" applyBorder="1" applyAlignment="1" applyProtection="1">
      <alignment vertical="center"/>
      <protection hidden="1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3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4" fillId="6" borderId="2" xfId="1" applyNumberFormat="1" applyFont="1" applyFill="1" applyBorder="1" applyAlignment="1" applyProtection="1">
      <alignment horizontal="center" vertical="center"/>
    </xf>
    <xf numFmtId="0" fontId="83" fillId="3" borderId="1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5" fillId="0" borderId="1" xfId="0" applyNumberFormat="1" applyFont="1" applyFill="1" applyBorder="1" applyAlignment="1" applyProtection="1">
      <alignment horizontal="right" vertical="center"/>
    </xf>
    <xf numFmtId="3" fontId="85" fillId="0" borderId="2" xfId="0" applyNumberFormat="1" applyFont="1" applyFill="1" applyBorder="1" applyAlignment="1" applyProtection="1">
      <alignment horizontal="right" vertical="center"/>
    </xf>
    <xf numFmtId="0" fontId="78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3" fontId="4" fillId="7" borderId="2" xfId="0" applyNumberFormat="1" applyFont="1" applyFill="1" applyBorder="1" applyAlignment="1" applyProtection="1">
      <alignment vertical="center"/>
      <protection hidden="1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0" fontId="87" fillId="5" borderId="1" xfId="0" applyFont="1" applyFill="1" applyBorder="1"/>
    <xf numFmtId="0" fontId="85" fillId="5" borderId="1" xfId="0" applyFont="1" applyFill="1" applyBorder="1" applyAlignment="1" applyProtection="1">
      <alignment horizontal="center" vertical="center"/>
    </xf>
    <xf numFmtId="0" fontId="88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17" fillId="5" borderId="1" xfId="0" applyFont="1" applyFill="1" applyBorder="1" applyAlignment="1" applyProtection="1">
      <alignment horizontal="left" vertical="center"/>
    </xf>
    <xf numFmtId="3" fontId="4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4" fillId="2" borderId="1" xfId="3" applyNumberFormat="1" applyFont="1" applyFill="1" applyBorder="1" applyAlignment="1" applyProtection="1">
      <alignment horizontal="right" vertical="center"/>
      <protection locked="0"/>
    </xf>
    <xf numFmtId="10" fontId="1" fillId="2" borderId="1" xfId="3" applyNumberFormat="1" applyFont="1" applyFill="1" applyBorder="1" applyAlignment="1" applyProtection="1">
      <alignment horizontal="center" vertical="center" wrapText="1"/>
      <protection locked="0"/>
    </xf>
    <xf numFmtId="10" fontId="1" fillId="2" borderId="2" xfId="3" applyNumberFormat="1" applyFont="1" applyFill="1" applyBorder="1" applyAlignment="1" applyProtection="1">
      <alignment horizontal="center" vertical="center" wrapText="1"/>
      <protection locked="0"/>
    </xf>
    <xf numFmtId="3" fontId="4" fillId="2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Border="1" applyAlignment="1" applyProtection="1">
      <alignment vertical="center"/>
      <protection hidden="1"/>
    </xf>
    <xf numFmtId="0" fontId="4" fillId="2" borderId="1" xfId="3" applyFont="1" applyFill="1" applyBorder="1" applyAlignment="1" applyProtection="1">
      <alignment horizontal="center" vertical="center"/>
      <protection locked="0"/>
    </xf>
    <xf numFmtId="168" fontId="4" fillId="2" borderId="1" xfId="3" applyNumberFormat="1" applyFont="1" applyFill="1" applyBorder="1" applyAlignment="1" applyProtection="1">
      <alignment horizontal="right" vertical="center"/>
      <protection locked="0"/>
    </xf>
    <xf numFmtId="0" fontId="4" fillId="2" borderId="1" xfId="3" applyFont="1" applyFill="1" applyBorder="1" applyAlignment="1" applyProtection="1">
      <alignment horizontal="left" vertical="center"/>
      <protection locked="0"/>
    </xf>
    <xf numFmtId="166" fontId="4" fillId="2" borderId="1" xfId="3" applyNumberFormat="1" applyFont="1" applyFill="1" applyBorder="1" applyAlignment="1" applyProtection="1">
      <alignment horizontal="right" vertical="center"/>
      <protection locked="0"/>
    </xf>
    <xf numFmtId="4" fontId="4" fillId="2" borderId="1" xfId="3" applyNumberFormat="1" applyFont="1" applyFill="1" applyBorder="1" applyAlignment="1" applyProtection="1">
      <alignment horizontal="right" vertical="center"/>
      <protection locked="0"/>
    </xf>
    <xf numFmtId="166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3" fontId="1" fillId="2" borderId="1" xfId="3" applyNumberFormat="1" applyFont="1" applyFill="1" applyBorder="1" applyAlignment="1" applyProtection="1">
      <alignment horizontal="right" vertical="center"/>
      <protection locked="0"/>
    </xf>
    <xf numFmtId="4" fontId="15" fillId="2" borderId="28" xfId="0" applyNumberFormat="1" applyFont="1" applyFill="1" applyBorder="1" applyAlignment="1" applyProtection="1">
      <alignment horizontal="center" vertical="center"/>
      <protection locked="0"/>
    </xf>
    <xf numFmtId="10" fontId="15" fillId="2" borderId="28" xfId="1" applyNumberFormat="1" applyFont="1" applyFill="1" applyBorder="1" applyAlignment="1" applyProtection="1">
      <alignment horizontal="center" vertical="center"/>
      <protection locked="0"/>
    </xf>
    <xf numFmtId="10" fontId="15" fillId="2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0" xfId="3" applyNumberFormat="1" applyFont="1" applyFill="1" applyBorder="1" applyAlignment="1" applyProtection="1">
      <alignment vertical="center"/>
      <protection locked="0"/>
    </xf>
    <xf numFmtId="0" fontId="4" fillId="2" borderId="0" xfId="3" applyFont="1" applyFill="1" applyAlignment="1" applyProtection="1">
      <alignment horizontal="center" vertical="center"/>
      <protection hidden="1"/>
    </xf>
    <xf numFmtId="216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21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213" fontId="11" fillId="0" borderId="33" xfId="0" applyNumberFormat="1" applyFont="1" applyFill="1" applyBorder="1" applyAlignment="1" applyProtection="1">
      <alignment horizontal="center" vertical="center"/>
    </xf>
    <xf numFmtId="216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" fontId="4" fillId="0" borderId="0" xfId="0" applyNumberFormat="1" applyFont="1" applyFill="1" applyAlignment="1" applyProtection="1">
      <alignment vertical="center"/>
      <protection hidden="1"/>
    </xf>
    <xf numFmtId="4" fontId="4" fillId="0" borderId="0" xfId="0" applyNumberFormat="1" applyFont="1" applyFill="1" applyAlignment="1" applyProtection="1">
      <alignment vertical="center"/>
      <protection hidden="1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167" fontId="4" fillId="0" borderId="1" xfId="1" applyNumberFormat="1" applyFont="1" applyFill="1" applyBorder="1" applyAlignment="1" applyProtection="1">
      <alignment vertical="center"/>
    </xf>
    <xf numFmtId="3" fontId="1" fillId="2" borderId="1" xfId="0" applyNumberFormat="1" applyFont="1" applyFill="1" applyBorder="1" applyAlignment="1" applyProtection="1">
      <alignment horizontal="right" vertical="top" wrapText="1"/>
      <protection locked="0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0" xfId="0" applyNumberFormat="1" applyFont="1" applyFill="1" applyAlignment="1" applyProtection="1">
      <alignment vertical="center"/>
      <protection hidden="1"/>
    </xf>
    <xf numFmtId="10" fontId="4" fillId="0" borderId="0" xfId="0" applyNumberFormat="1" applyFont="1" applyAlignment="1" applyProtection="1">
      <alignment vertical="center"/>
    </xf>
    <xf numFmtId="0" fontId="4" fillId="2" borderId="1" xfId="4" applyFont="1" applyFill="1" applyBorder="1" applyAlignment="1" applyProtection="1">
      <alignment horizontal="right" vertical="center"/>
      <protection hidden="1"/>
    </xf>
    <xf numFmtId="4" fontId="79" fillId="0" borderId="2" xfId="0" applyNumberFormat="1" applyFont="1" applyFill="1" applyBorder="1" applyAlignment="1" applyProtection="1">
      <alignment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190" fontId="18" fillId="0" borderId="24" xfId="0" applyNumberFormat="1" applyFont="1" applyFill="1" applyBorder="1" applyAlignment="1" applyProtection="1">
      <alignment horizontal="center" vertical="center" wrapText="1"/>
      <protection hidden="1"/>
    </xf>
    <xf numFmtId="213" fontId="18" fillId="0" borderId="18" xfId="0" applyNumberFormat="1" applyFont="1" applyFill="1" applyBorder="1" applyAlignment="1" applyProtection="1">
      <alignment horizontal="center" vertical="center" wrapText="1"/>
      <protection hidden="1"/>
    </xf>
    <xf numFmtId="190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3" fontId="4" fillId="6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10" fontId="18" fillId="0" borderId="2" xfId="1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67" fontId="77" fillId="0" borderId="1" xfId="0" applyNumberFormat="1" applyFont="1" applyFill="1" applyBorder="1" applyAlignment="1" applyProtection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8" fontId="7" fillId="0" borderId="43" xfId="0" applyNumberFormat="1" applyFont="1" applyFill="1" applyBorder="1" applyAlignment="1" applyProtection="1">
      <alignment horizontal="center" vertical="center"/>
      <protection hidden="1"/>
    </xf>
    <xf numFmtId="218" fontId="7" fillId="0" borderId="44" xfId="0" applyNumberFormat="1" applyFont="1" applyFill="1" applyBorder="1" applyAlignment="1" applyProtection="1">
      <alignment horizontal="center" vertical="center"/>
      <protection hidden="1"/>
    </xf>
    <xf numFmtId="218" fontId="7" fillId="0" borderId="45" xfId="0" applyNumberFormat="1" applyFont="1" applyFill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Fill="1" applyBorder="1" applyAlignment="1" applyProtection="1">
      <alignment horizontal="center" vertical="center"/>
      <protection hidden="1"/>
    </xf>
    <xf numFmtId="0" fontId="4" fillId="2" borderId="0" xfId="3" applyFont="1" applyFill="1" applyAlignment="1" applyProtection="1">
      <alignment horizontal="left" vertical="center"/>
      <protection hidden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21" fontId="4" fillId="0" borderId="9" xfId="0" applyNumberFormat="1" applyFont="1" applyBorder="1" applyAlignment="1" applyProtection="1">
      <alignment horizontal="center" vertical="center" wrapText="1"/>
    </xf>
    <xf numFmtId="22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5" fontId="4" fillId="0" borderId="9" xfId="0" applyNumberFormat="1" applyFont="1" applyFill="1" applyBorder="1" applyAlignment="1" applyProtection="1">
      <alignment horizontal="center" vertical="center" wrapText="1"/>
    </xf>
    <xf numFmtId="215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182" fontId="4" fillId="0" borderId="0" xfId="0" applyNumberFormat="1" applyFont="1" applyBorder="1" applyAlignment="1" applyProtection="1">
      <alignment horizontal="center" vertical="top"/>
    </xf>
    <xf numFmtId="3" fontId="4" fillId="2" borderId="15" xfId="3" applyNumberFormat="1" applyFont="1" applyFill="1" applyBorder="1" applyAlignment="1" applyProtection="1">
      <alignment horizontal="center" vertical="top" wrapText="1"/>
      <protection locked="0"/>
    </xf>
    <xf numFmtId="3" fontId="4" fillId="2" borderId="31" xfId="3" applyNumberFormat="1" applyFont="1" applyFill="1" applyBorder="1" applyAlignment="1" applyProtection="1">
      <alignment horizontal="center" vertical="top" wrapText="1"/>
      <protection locked="0"/>
    </xf>
    <xf numFmtId="3" fontId="4" fillId="2" borderId="6" xfId="3" applyNumberFormat="1" applyFont="1" applyFill="1" applyBorder="1" applyAlignment="1" applyProtection="1">
      <alignment horizontal="center" vertical="top" wrapText="1"/>
      <protection locked="0"/>
    </xf>
    <xf numFmtId="3" fontId="4" fillId="2" borderId="1" xfId="3" applyNumberFormat="1" applyFont="1" applyFill="1" applyBorder="1" applyAlignment="1" applyProtection="1">
      <alignment horizontal="center" vertical="top" wrapText="1"/>
      <protection locked="0"/>
    </xf>
    <xf numFmtId="3" fontId="4" fillId="2" borderId="2" xfId="3" applyNumberFormat="1" applyFont="1" applyFill="1" applyBorder="1" applyAlignment="1" applyProtection="1">
      <alignment horizontal="center" vertical="top" wrapText="1"/>
      <protection locked="0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09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4" fontId="40" fillId="6" borderId="20" xfId="0" applyNumberFormat="1" applyFont="1" applyFill="1" applyBorder="1" applyAlignment="1" applyProtection="1">
      <alignment horizontal="center" vertical="center"/>
      <protection locked="0"/>
    </xf>
    <xf numFmtId="214" fontId="40" fillId="6" borderId="8" xfId="0" applyNumberFormat="1" applyFont="1" applyFill="1" applyBorder="1" applyAlignment="1" applyProtection="1">
      <alignment horizontal="center" vertical="center"/>
      <protection locked="0"/>
    </xf>
    <xf numFmtId="219" fontId="40" fillId="0" borderId="20" xfId="0" applyNumberFormat="1" applyFont="1" applyFill="1" applyBorder="1" applyAlignment="1" applyProtection="1">
      <alignment horizontal="center" vertical="center"/>
      <protection hidden="1"/>
    </xf>
    <xf numFmtId="219" fontId="40" fillId="0" borderId="8" xfId="0" applyNumberFormat="1" applyFont="1" applyFill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4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48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4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5" fontId="7" fillId="0" borderId="15" xfId="0" applyNumberFormat="1" applyFont="1" applyBorder="1" applyAlignment="1" applyProtection="1">
      <alignment horizontal="center" vertical="center"/>
      <protection hidden="1"/>
    </xf>
    <xf numFmtId="205" fontId="7" fillId="0" borderId="31" xfId="0" applyNumberFormat="1" applyFont="1" applyBorder="1" applyAlignment="1" applyProtection="1">
      <alignment horizontal="center" vertical="center"/>
      <protection hidden="1"/>
    </xf>
    <xf numFmtId="205" fontId="7" fillId="0" borderId="6" xfId="0" applyNumberFormat="1" applyFont="1" applyBorder="1" applyAlignment="1" applyProtection="1">
      <alignment horizontal="center" vertical="center"/>
      <protection hidden="1"/>
    </xf>
    <xf numFmtId="206" fontId="7" fillId="0" borderId="15" xfId="0" applyNumberFormat="1" applyFont="1" applyBorder="1" applyAlignment="1" applyProtection="1">
      <alignment horizontal="center" vertical="center"/>
      <protection hidden="1"/>
    </xf>
    <xf numFmtId="206" fontId="7" fillId="0" borderId="31" xfId="0" applyNumberFormat="1" applyFont="1" applyBorder="1" applyAlignment="1" applyProtection="1">
      <alignment horizontal="center" vertical="center"/>
      <protection hidden="1"/>
    </xf>
    <xf numFmtId="206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7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20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73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2" fontId="7" fillId="0" borderId="41" xfId="3" applyNumberFormat="1" applyFont="1" applyBorder="1" applyAlignment="1" applyProtection="1">
      <alignment horizontal="center" vertical="center"/>
      <protection hidden="1"/>
    </xf>
    <xf numFmtId="212" fontId="7" fillId="0" borderId="36" xfId="3" applyNumberFormat="1" applyFont="1" applyBorder="1" applyAlignment="1" applyProtection="1">
      <alignment horizontal="center" vertical="center"/>
      <protection hidden="1"/>
    </xf>
    <xf numFmtId="212" fontId="7" fillId="0" borderId="21" xfId="3" applyNumberFormat="1" applyFont="1" applyBorder="1" applyAlignment="1" applyProtection="1">
      <alignment horizontal="center" vertical="center"/>
      <protection hidden="1"/>
    </xf>
    <xf numFmtId="212" fontId="7" fillId="0" borderId="22" xfId="3" applyNumberFormat="1" applyFont="1" applyBorder="1" applyAlignment="1" applyProtection="1">
      <alignment horizontal="center" vertical="center"/>
      <protection hidden="1"/>
    </xf>
    <xf numFmtId="211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4" fillId="0" borderId="13" xfId="0" applyFont="1" applyBorder="1" applyAlignment="1" applyProtection="1">
      <alignment vertical="top" wrapText="1"/>
      <protection hidden="1"/>
    </xf>
    <xf numFmtId="0" fontId="64" fillId="0" borderId="14" xfId="0" applyFont="1" applyBorder="1" applyAlignment="1" applyProtection="1">
      <alignment vertical="top" wrapText="1"/>
      <protection hidden="1"/>
    </xf>
    <xf numFmtId="0" fontId="64" fillId="0" borderId="8" xfId="0" applyFont="1" applyBorder="1" applyAlignment="1" applyProtection="1">
      <alignment vertical="top" wrapText="1"/>
      <protection hidden="1"/>
    </xf>
    <xf numFmtId="217" fontId="7" fillId="0" borderId="41" xfId="0" applyNumberFormat="1" applyFont="1" applyBorder="1" applyAlignment="1" applyProtection="1">
      <alignment horizontal="center" vertical="center"/>
      <protection hidden="1"/>
    </xf>
    <xf numFmtId="217" fontId="7" fillId="0" borderId="36" xfId="0" applyNumberFormat="1" applyFont="1" applyBorder="1" applyAlignment="1" applyProtection="1">
      <alignment horizontal="center" vertical="center"/>
      <protection hidden="1"/>
    </xf>
    <xf numFmtId="217" fontId="7" fillId="0" borderId="21" xfId="0" applyNumberFormat="1" applyFont="1" applyBorder="1" applyAlignment="1" applyProtection="1">
      <alignment horizontal="center" vertical="center"/>
      <protection hidden="1"/>
    </xf>
    <xf numFmtId="217" fontId="7" fillId="0" borderId="22" xfId="0" applyNumberFormat="1" applyFont="1" applyBorder="1" applyAlignment="1" applyProtection="1">
      <alignment horizontal="center" vertical="center"/>
      <protection hidden="1"/>
    </xf>
  </cellXfs>
  <cellStyles count="5">
    <cellStyle name="Normal" xfId="0" builtinId="0"/>
    <cellStyle name="Normal_SPR_SCHET_KEVR_БАЛЕВА 17  " xfId="4"/>
    <cellStyle name="Normal_БРИКЕЛ Ценови модел лицензиант 834990-2015" xfId="3"/>
    <cellStyle name="Percent" xfId="1" builtinId="5"/>
    <cellStyle name="Standard_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P-2012/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706" t="s">
        <v>351</v>
      </c>
      <c r="C3" s="706"/>
      <c r="D3" s="706"/>
      <c r="E3" s="706"/>
      <c r="F3" s="706"/>
      <c r="G3" s="706"/>
      <c r="H3" s="706"/>
    </row>
    <row r="4" spans="2:9">
      <c r="B4" s="706" t="s">
        <v>352</v>
      </c>
      <c r="C4" s="706"/>
      <c r="D4" s="706"/>
      <c r="E4" s="706"/>
      <c r="F4" s="706"/>
      <c r="G4" s="706"/>
      <c r="H4" s="706"/>
    </row>
    <row r="7" spans="2:9">
      <c r="B7" s="46">
        <v>1</v>
      </c>
      <c r="C7" s="15" t="s">
        <v>353</v>
      </c>
    </row>
    <row r="8" spans="2:9">
      <c r="B8" s="47">
        <v>2</v>
      </c>
      <c r="C8" s="15" t="s">
        <v>354</v>
      </c>
    </row>
    <row r="9" spans="2:9" ht="27.75" customHeight="1">
      <c r="B9" s="59">
        <v>3</v>
      </c>
      <c r="C9" s="705" t="s">
        <v>355</v>
      </c>
      <c r="D9" s="705"/>
      <c r="E9" s="705"/>
      <c r="F9" s="705"/>
      <c r="G9" s="705"/>
      <c r="H9" s="705"/>
      <c r="I9" s="705"/>
    </row>
    <row r="10" spans="2:9" ht="39" customHeight="1">
      <c r="B10" s="59">
        <v>4</v>
      </c>
      <c r="C10" s="705" t="s">
        <v>356</v>
      </c>
      <c r="D10" s="705"/>
      <c r="E10" s="705"/>
      <c r="F10" s="705"/>
      <c r="G10" s="705"/>
      <c r="H10" s="705"/>
      <c r="I10" s="705"/>
    </row>
    <row r="11" spans="2:9" ht="28.5" customHeight="1">
      <c r="B11" s="59">
        <v>5</v>
      </c>
      <c r="C11" s="705" t="s">
        <v>357</v>
      </c>
      <c r="D11" s="705"/>
      <c r="E11" s="705"/>
      <c r="F11" s="705"/>
      <c r="G11" s="705"/>
      <c r="H11" s="705"/>
      <c r="I11" s="705"/>
    </row>
    <row r="12" spans="2:9" ht="30" customHeight="1">
      <c r="B12" s="59">
        <v>6</v>
      </c>
      <c r="C12" s="705" t="s">
        <v>358</v>
      </c>
      <c r="D12" s="705"/>
      <c r="E12" s="705"/>
      <c r="F12" s="705"/>
      <c r="G12" s="705"/>
      <c r="H12" s="705"/>
      <c r="I12" s="705"/>
    </row>
    <row r="13" spans="2:9" ht="27" customHeight="1">
      <c r="B13" s="59">
        <v>7</v>
      </c>
      <c r="C13" s="705" t="s">
        <v>359</v>
      </c>
      <c r="D13" s="705"/>
      <c r="E13" s="705"/>
      <c r="F13" s="705"/>
      <c r="G13" s="705"/>
      <c r="H13" s="705"/>
      <c r="I13" s="705"/>
    </row>
    <row r="14" spans="2:9" ht="40.5" customHeight="1">
      <c r="B14" s="59">
        <v>8</v>
      </c>
      <c r="C14" s="705" t="s">
        <v>360</v>
      </c>
      <c r="D14" s="705"/>
      <c r="E14" s="705"/>
      <c r="F14" s="705"/>
      <c r="G14" s="705"/>
      <c r="H14" s="705"/>
      <c r="I14" s="705"/>
    </row>
    <row r="15" spans="2:9" ht="27" customHeight="1">
      <c r="B15" s="59">
        <v>9</v>
      </c>
      <c r="C15" s="705" t="s">
        <v>361</v>
      </c>
      <c r="D15" s="705"/>
      <c r="E15" s="705"/>
      <c r="F15" s="705"/>
      <c r="G15" s="705"/>
      <c r="H15" s="705"/>
      <c r="I15" s="705"/>
    </row>
    <row r="16" spans="2:9">
      <c r="B16" s="59">
        <v>10</v>
      </c>
      <c r="C16" s="705" t="s">
        <v>362</v>
      </c>
      <c r="D16" s="705"/>
      <c r="E16" s="705"/>
      <c r="F16" s="705"/>
      <c r="G16" s="705"/>
      <c r="H16" s="705"/>
      <c r="I16" s="705"/>
    </row>
    <row r="17" spans="2:9" ht="39" customHeight="1">
      <c r="B17" s="59">
        <v>11</v>
      </c>
      <c r="C17" s="705" t="s">
        <v>363</v>
      </c>
      <c r="D17" s="705"/>
      <c r="E17" s="705"/>
      <c r="F17" s="705"/>
      <c r="G17" s="705"/>
      <c r="H17" s="705"/>
      <c r="I17" s="705"/>
    </row>
    <row r="18" spans="2:9" ht="43.5" customHeight="1">
      <c r="B18" s="59">
        <v>12</v>
      </c>
      <c r="C18" s="705" t="s">
        <v>364</v>
      </c>
      <c r="D18" s="705"/>
      <c r="E18" s="705"/>
      <c r="F18" s="705"/>
      <c r="G18" s="705"/>
      <c r="H18" s="705"/>
      <c r="I18" s="705"/>
    </row>
    <row r="19" spans="2:9">
      <c r="B19" s="59">
        <v>13</v>
      </c>
      <c r="C19" s="705" t="s">
        <v>365</v>
      </c>
      <c r="D19" s="705"/>
      <c r="E19" s="705"/>
      <c r="F19" s="705"/>
      <c r="G19" s="705"/>
      <c r="H19" s="705"/>
      <c r="I19" s="705"/>
    </row>
    <row r="20" spans="2:9" ht="28.5" customHeight="1">
      <c r="B20" s="59">
        <v>14</v>
      </c>
      <c r="C20" s="705" t="s">
        <v>366</v>
      </c>
      <c r="D20" s="705"/>
      <c r="E20" s="705"/>
      <c r="F20" s="705"/>
      <c r="G20" s="705"/>
      <c r="H20" s="705"/>
      <c r="I20" s="705"/>
    </row>
    <row r="21" spans="2:9">
      <c r="B21" s="59">
        <v>15</v>
      </c>
      <c r="C21" s="705" t="s">
        <v>367</v>
      </c>
      <c r="D21" s="705"/>
      <c r="E21" s="705"/>
      <c r="F21" s="705"/>
      <c r="G21" s="705"/>
      <c r="H21" s="705"/>
      <c r="I21" s="705"/>
    </row>
    <row r="22" spans="2:9">
      <c r="B22" s="59">
        <v>16</v>
      </c>
      <c r="C22" s="705" t="s">
        <v>368</v>
      </c>
      <c r="D22" s="705"/>
      <c r="E22" s="705"/>
      <c r="F22" s="705"/>
      <c r="G22" s="705"/>
      <c r="H22" s="705"/>
      <c r="I22" s="705"/>
    </row>
    <row r="23" spans="2:9">
      <c r="B23" s="59">
        <v>17</v>
      </c>
      <c r="C23" s="705" t="s">
        <v>369</v>
      </c>
      <c r="D23" s="705"/>
      <c r="E23" s="705"/>
      <c r="F23" s="705"/>
      <c r="G23" s="705"/>
      <c r="H23" s="705"/>
      <c r="I23" s="705"/>
    </row>
    <row r="24" spans="2:9" ht="27.75" customHeight="1">
      <c r="B24" s="59">
        <v>18</v>
      </c>
      <c r="C24" s="705" t="s">
        <v>533</v>
      </c>
      <c r="D24" s="705"/>
      <c r="E24" s="705"/>
      <c r="F24" s="705"/>
      <c r="G24" s="705"/>
      <c r="H24" s="705"/>
      <c r="I24" s="705"/>
    </row>
  </sheetData>
  <mergeCells count="18"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  <mergeCell ref="C16:I16"/>
    <mergeCell ref="C17:I1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15" activePane="bottomLeft" state="frozen"/>
      <selection pane="bottomLeft" activeCell="E33" sqref="E33:P33"/>
    </sheetView>
  </sheetViews>
  <sheetFormatPr defaultColWidth="0" defaultRowHeight="12.75" zeroHeight="1"/>
  <cols>
    <col min="1" max="1" width="19.42578125" style="102" customWidth="1"/>
    <col min="2" max="2" width="22.28515625" style="102" customWidth="1"/>
    <col min="3" max="3" width="9.140625" style="105" bestFit="1" customWidth="1"/>
    <col min="4" max="4" width="10.5703125" style="102" customWidth="1"/>
    <col min="5" max="17" width="9.5703125" style="102" customWidth="1"/>
    <col min="18" max="20" width="9.5703125" style="102" hidden="1" customWidth="1"/>
    <col min="21" max="21" width="11.5703125" style="102" hidden="1" customWidth="1"/>
    <col min="22" max="22" width="11.42578125" style="102" hidden="1" customWidth="1"/>
    <col min="23" max="23" width="0" style="102" hidden="1" customWidth="1"/>
    <col min="24" max="16384" width="0" style="102" hidden="1"/>
  </cols>
  <sheetData>
    <row r="1" spans="1:16" ht="12.75" customHeight="1">
      <c r="A1" s="856" t="s">
        <v>601</v>
      </c>
      <c r="B1" s="856"/>
      <c r="C1" s="856"/>
      <c r="K1" s="103"/>
      <c r="L1" s="103"/>
      <c r="M1" s="103"/>
      <c r="N1" s="103"/>
      <c r="O1" s="103"/>
      <c r="P1" s="132" t="s">
        <v>699</v>
      </c>
    </row>
    <row r="2" spans="1:16">
      <c r="A2" s="857" t="str">
        <f>'ТИП-ПРОИЗ'!B3</f>
        <v>"БРИКЕЛ" ЕАД</v>
      </c>
      <c r="B2" s="857"/>
      <c r="C2" s="857"/>
      <c r="K2" s="103"/>
      <c r="L2" s="103"/>
      <c r="M2" s="103"/>
      <c r="N2" s="103"/>
      <c r="O2" s="103"/>
      <c r="P2" s="103"/>
    </row>
    <row r="3" spans="1:16"/>
    <row r="4" spans="1:16">
      <c r="A4" s="863">
        <f>'ТИП-ПРОИЗ'!E6</f>
        <v>2019.9998000000001</v>
      </c>
      <c r="B4" s="864"/>
      <c r="C4" s="868" t="s">
        <v>161</v>
      </c>
      <c r="D4" s="106" t="s">
        <v>394</v>
      </c>
      <c r="E4" s="107">
        <f>DATE($A$4,D5,1)</f>
        <v>43647</v>
      </c>
      <c r="F4" s="107">
        <f t="shared" ref="F4:P4" si="0">DATE($A$4,$D$5+E5,1)</f>
        <v>43678</v>
      </c>
      <c r="G4" s="107">
        <f t="shared" si="0"/>
        <v>43709</v>
      </c>
      <c r="H4" s="107">
        <f t="shared" si="0"/>
        <v>43739</v>
      </c>
      <c r="I4" s="107">
        <f t="shared" si="0"/>
        <v>43770</v>
      </c>
      <c r="J4" s="107">
        <f t="shared" si="0"/>
        <v>43800</v>
      </c>
      <c r="K4" s="107">
        <f t="shared" si="0"/>
        <v>43831</v>
      </c>
      <c r="L4" s="107">
        <f t="shared" si="0"/>
        <v>43862</v>
      </c>
      <c r="M4" s="107">
        <f t="shared" si="0"/>
        <v>43891</v>
      </c>
      <c r="N4" s="107">
        <f t="shared" si="0"/>
        <v>43922</v>
      </c>
      <c r="O4" s="107">
        <f t="shared" si="0"/>
        <v>43952</v>
      </c>
      <c r="P4" s="107">
        <f t="shared" si="0"/>
        <v>43983</v>
      </c>
    </row>
    <row r="5" spans="1:16">
      <c r="A5" s="865"/>
      <c r="B5" s="866"/>
      <c r="C5" s="868"/>
      <c r="D5" s="137">
        <v>7</v>
      </c>
      <c r="E5" s="108">
        <v>1</v>
      </c>
      <c r="F5" s="108">
        <v>2</v>
      </c>
      <c r="G5" s="108">
        <v>3</v>
      </c>
      <c r="H5" s="108">
        <v>4</v>
      </c>
      <c r="I5" s="108">
        <v>5</v>
      </c>
      <c r="J5" s="108">
        <v>6</v>
      </c>
      <c r="K5" s="108">
        <v>7</v>
      </c>
      <c r="L5" s="108">
        <v>8</v>
      </c>
      <c r="M5" s="108">
        <v>9</v>
      </c>
      <c r="N5" s="108">
        <v>10</v>
      </c>
      <c r="O5" s="108">
        <v>11</v>
      </c>
      <c r="P5" s="108">
        <v>12</v>
      </c>
    </row>
    <row r="6" spans="1:16" ht="12.75" customHeight="1">
      <c r="A6" s="867" t="s">
        <v>703</v>
      </c>
      <c r="B6" s="531" t="s">
        <v>705</v>
      </c>
      <c r="C6" s="532"/>
      <c r="D6" s="111"/>
      <c r="E6" s="138">
        <v>3</v>
      </c>
      <c r="F6" s="138">
        <v>3</v>
      </c>
      <c r="G6" s="138">
        <v>3</v>
      </c>
      <c r="H6" s="138">
        <v>3</v>
      </c>
      <c r="I6" s="138">
        <v>3</v>
      </c>
      <c r="J6" s="138">
        <v>3</v>
      </c>
      <c r="K6" s="138">
        <v>3</v>
      </c>
      <c r="L6" s="138">
        <v>3</v>
      </c>
      <c r="M6" s="138">
        <v>3</v>
      </c>
      <c r="N6" s="138">
        <v>3</v>
      </c>
      <c r="O6" s="138">
        <v>3</v>
      </c>
      <c r="P6" s="138">
        <v>3</v>
      </c>
    </row>
    <row r="7" spans="1:16" ht="12.75" customHeight="1">
      <c r="A7" s="867"/>
      <c r="B7" s="531" t="s">
        <v>706</v>
      </c>
      <c r="C7" s="532"/>
      <c r="D7" s="111"/>
      <c r="E7" s="138">
        <v>3</v>
      </c>
      <c r="F7" s="138">
        <v>3</v>
      </c>
      <c r="G7" s="138">
        <v>3</v>
      </c>
      <c r="H7" s="138">
        <v>3</v>
      </c>
      <c r="I7" s="138">
        <v>3</v>
      </c>
      <c r="J7" s="138">
        <v>3</v>
      </c>
      <c r="K7" s="138">
        <v>3</v>
      </c>
      <c r="L7" s="138">
        <v>3</v>
      </c>
      <c r="M7" s="138">
        <v>3</v>
      </c>
      <c r="N7" s="138">
        <v>3</v>
      </c>
      <c r="O7" s="138">
        <v>3</v>
      </c>
      <c r="P7" s="138">
        <v>3</v>
      </c>
    </row>
    <row r="8" spans="1:16">
      <c r="A8" s="867"/>
      <c r="B8" s="533" t="s">
        <v>704</v>
      </c>
      <c r="C8" s="533"/>
      <c r="D8" s="111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</row>
    <row r="9" spans="1:16">
      <c r="A9" s="869" t="s">
        <v>547</v>
      </c>
      <c r="B9" s="109" t="s">
        <v>395</v>
      </c>
      <c r="C9" s="110" t="s">
        <v>70</v>
      </c>
      <c r="D9" s="111">
        <f>SUM(E9:P9)</f>
        <v>1574894.6769999999</v>
      </c>
      <c r="E9" s="111">
        <f t="shared" ref="E9:P9" si="1">SUM(E10:E11)</f>
        <v>140455.10500000001</v>
      </c>
      <c r="F9" s="111">
        <f t="shared" si="1"/>
        <v>132797.20000000001</v>
      </c>
      <c r="G9" s="111">
        <f t="shared" si="1"/>
        <v>42788.983</v>
      </c>
      <c r="H9" s="111">
        <f t="shared" si="1"/>
        <v>147198.274</v>
      </c>
      <c r="I9" s="111">
        <f t="shared" si="1"/>
        <v>156004.416</v>
      </c>
      <c r="J9" s="111">
        <f t="shared" si="1"/>
        <v>147033.019</v>
      </c>
      <c r="K9" s="111">
        <f t="shared" si="1"/>
        <v>133607.18799999999</v>
      </c>
      <c r="L9" s="111">
        <f t="shared" si="1"/>
        <v>120567.54999999999</v>
      </c>
      <c r="M9" s="111">
        <f t="shared" si="1"/>
        <v>134055.36199999999</v>
      </c>
      <c r="N9" s="111">
        <f t="shared" si="1"/>
        <v>128482.484</v>
      </c>
      <c r="O9" s="111">
        <f t="shared" si="1"/>
        <v>152995.614</v>
      </c>
      <c r="P9" s="111">
        <f t="shared" si="1"/>
        <v>138909.48199999999</v>
      </c>
    </row>
    <row r="10" spans="1:16">
      <c r="A10" s="870"/>
      <c r="B10" s="109" t="s">
        <v>396</v>
      </c>
      <c r="C10" s="110" t="s">
        <v>70</v>
      </c>
      <c r="D10" s="111">
        <f>SUM(E10:P10)</f>
        <v>18501.823</v>
      </c>
      <c r="E10" s="138"/>
      <c r="F10" s="138"/>
      <c r="G10" s="138"/>
      <c r="H10" s="138"/>
      <c r="I10" s="138">
        <v>1992.8530000000001</v>
      </c>
      <c r="J10" s="138">
        <v>2666.799</v>
      </c>
      <c r="K10" s="138">
        <v>5019.71</v>
      </c>
      <c r="L10" s="138">
        <v>4271.0360000000001</v>
      </c>
      <c r="M10" s="138">
        <v>2610.788</v>
      </c>
      <c r="N10" s="138">
        <v>1940.6369999999999</v>
      </c>
      <c r="O10" s="138"/>
      <c r="P10" s="138"/>
    </row>
    <row r="11" spans="1:16">
      <c r="A11" s="871"/>
      <c r="B11" s="109" t="s">
        <v>397</v>
      </c>
      <c r="C11" s="110" t="s">
        <v>70</v>
      </c>
      <c r="D11" s="111">
        <f t="shared" ref="D11:D17" si="2">SUM(E11:P11)</f>
        <v>1556392.8540000001</v>
      </c>
      <c r="E11" s="138">
        <v>140455.10500000001</v>
      </c>
      <c r="F11" s="138">
        <v>132797.20000000001</v>
      </c>
      <c r="G11" s="138">
        <v>42788.983</v>
      </c>
      <c r="H11" s="138">
        <v>147198.274</v>
      </c>
      <c r="I11" s="138">
        <v>154011.56299999999</v>
      </c>
      <c r="J11" s="138">
        <v>144366.22</v>
      </c>
      <c r="K11" s="138">
        <v>128587.478</v>
      </c>
      <c r="L11" s="138">
        <v>116296.514</v>
      </c>
      <c r="M11" s="138">
        <v>131444.57399999999</v>
      </c>
      <c r="N11" s="138">
        <v>126541.84699999999</v>
      </c>
      <c r="O11" s="138">
        <v>152995.614</v>
      </c>
      <c r="P11" s="138">
        <v>138909.48199999999</v>
      </c>
    </row>
    <row r="12" spans="1:16">
      <c r="A12" s="858" t="s">
        <v>751</v>
      </c>
      <c r="B12" s="109" t="s">
        <v>395</v>
      </c>
      <c r="C12" s="110" t="s">
        <v>70</v>
      </c>
      <c r="D12" s="111">
        <f t="shared" si="2"/>
        <v>1751739</v>
      </c>
      <c r="E12" s="111">
        <f t="shared" ref="E12:P12" si="3">SUM(E13:E14)</f>
        <v>156138</v>
      </c>
      <c r="F12" s="111">
        <f t="shared" si="3"/>
        <v>147590</v>
      </c>
      <c r="G12" s="111">
        <f t="shared" si="3"/>
        <v>47542</v>
      </c>
      <c r="H12" s="111">
        <f t="shared" si="3"/>
        <v>163634</v>
      </c>
      <c r="I12" s="111">
        <f t="shared" si="3"/>
        <v>173458</v>
      </c>
      <c r="J12" s="111">
        <f t="shared" si="3"/>
        <v>163503</v>
      </c>
      <c r="K12" s="111">
        <f t="shared" si="3"/>
        <v>148856</v>
      </c>
      <c r="L12" s="111">
        <f t="shared" si="3"/>
        <v>134277</v>
      </c>
      <c r="M12" s="111">
        <f t="shared" si="3"/>
        <v>149289</v>
      </c>
      <c r="N12" s="111">
        <f t="shared" si="3"/>
        <v>142939</v>
      </c>
      <c r="O12" s="111">
        <f t="shared" si="3"/>
        <v>170077</v>
      </c>
      <c r="P12" s="111">
        <f t="shared" si="3"/>
        <v>154436</v>
      </c>
    </row>
    <row r="13" spans="1:16">
      <c r="A13" s="859"/>
      <c r="B13" s="109" t="s">
        <v>396</v>
      </c>
      <c r="C13" s="110" t="s">
        <v>70</v>
      </c>
      <c r="D13" s="111">
        <f t="shared" si="2"/>
        <v>19329.359</v>
      </c>
      <c r="E13" s="138"/>
      <c r="F13" s="138"/>
      <c r="G13" s="138"/>
      <c r="H13" s="138"/>
      <c r="I13" s="138">
        <v>2084.0899999999997</v>
      </c>
      <c r="J13" s="138">
        <v>2799.5829999999996</v>
      </c>
      <c r="K13" s="138">
        <v>5231.1310000000003</v>
      </c>
      <c r="L13" s="138">
        <v>4458.3320000000003</v>
      </c>
      <c r="M13" s="138">
        <v>2744.58</v>
      </c>
      <c r="N13" s="138">
        <v>2011.6429999999998</v>
      </c>
      <c r="O13" s="138"/>
      <c r="P13" s="138"/>
    </row>
    <row r="14" spans="1:16">
      <c r="A14" s="860"/>
      <c r="B14" s="109" t="s">
        <v>397</v>
      </c>
      <c r="C14" s="110" t="s">
        <v>70</v>
      </c>
      <c r="D14" s="111">
        <f t="shared" si="2"/>
        <v>1732409.6410000001</v>
      </c>
      <c r="E14" s="138">
        <v>156138</v>
      </c>
      <c r="F14" s="138">
        <v>147590</v>
      </c>
      <c r="G14" s="138">
        <v>47542</v>
      </c>
      <c r="H14" s="138">
        <v>163634</v>
      </c>
      <c r="I14" s="138">
        <v>171373.91</v>
      </c>
      <c r="J14" s="138">
        <v>160703.41699999999</v>
      </c>
      <c r="K14" s="138">
        <v>143624.86900000001</v>
      </c>
      <c r="L14" s="138">
        <v>129818.66800000001</v>
      </c>
      <c r="M14" s="138">
        <v>146544.42000000001</v>
      </c>
      <c r="N14" s="138">
        <v>140927.35699999999</v>
      </c>
      <c r="O14" s="138">
        <v>170077</v>
      </c>
      <c r="P14" s="138">
        <v>154436</v>
      </c>
    </row>
    <row r="15" spans="1:16">
      <c r="A15" s="858" t="s">
        <v>752</v>
      </c>
      <c r="B15" s="109" t="s">
        <v>395</v>
      </c>
      <c r="C15" s="110" t="s">
        <v>70</v>
      </c>
      <c r="D15" s="111">
        <f t="shared" si="2"/>
        <v>1751739</v>
      </c>
      <c r="E15" s="111">
        <f>SUM(E16:E17)</f>
        <v>156138</v>
      </c>
      <c r="F15" s="111">
        <f t="shared" ref="F15:P15" si="4">SUM(F16:F17)</f>
        <v>147590</v>
      </c>
      <c r="G15" s="111">
        <f t="shared" si="4"/>
        <v>47542</v>
      </c>
      <c r="H15" s="111">
        <f t="shared" si="4"/>
        <v>163634</v>
      </c>
      <c r="I15" s="111">
        <f t="shared" si="4"/>
        <v>173458</v>
      </c>
      <c r="J15" s="111">
        <f t="shared" si="4"/>
        <v>163503</v>
      </c>
      <c r="K15" s="111">
        <f t="shared" si="4"/>
        <v>148856</v>
      </c>
      <c r="L15" s="111">
        <f t="shared" si="4"/>
        <v>134277</v>
      </c>
      <c r="M15" s="111">
        <f t="shared" si="4"/>
        <v>149289</v>
      </c>
      <c r="N15" s="111">
        <f t="shared" si="4"/>
        <v>142939</v>
      </c>
      <c r="O15" s="111">
        <f t="shared" si="4"/>
        <v>170077</v>
      </c>
      <c r="P15" s="111">
        <f t="shared" si="4"/>
        <v>154436</v>
      </c>
    </row>
    <row r="16" spans="1:16">
      <c r="A16" s="859"/>
      <c r="B16" s="109" t="s">
        <v>396</v>
      </c>
      <c r="C16" s="110" t="s">
        <v>70</v>
      </c>
      <c r="D16" s="111">
        <f t="shared" si="2"/>
        <v>19329.359</v>
      </c>
      <c r="E16" s="138">
        <f t="shared" ref="E16:H16" si="5">E13</f>
        <v>0</v>
      </c>
      <c r="F16" s="138">
        <f t="shared" si="5"/>
        <v>0</v>
      </c>
      <c r="G16" s="138">
        <f t="shared" si="5"/>
        <v>0</v>
      </c>
      <c r="H16" s="138">
        <f t="shared" si="5"/>
        <v>0</v>
      </c>
      <c r="I16" s="138">
        <f>I13</f>
        <v>2084.0899999999997</v>
      </c>
      <c r="J16" s="138">
        <f>J13</f>
        <v>2799.5829999999996</v>
      </c>
      <c r="K16" s="138">
        <f t="shared" ref="K16:P16" si="6">K13</f>
        <v>5231.1310000000003</v>
      </c>
      <c r="L16" s="138">
        <f t="shared" si="6"/>
        <v>4458.3320000000003</v>
      </c>
      <c r="M16" s="138">
        <f t="shared" si="6"/>
        <v>2744.58</v>
      </c>
      <c r="N16" s="138">
        <f t="shared" si="6"/>
        <v>2011.6429999999998</v>
      </c>
      <c r="O16" s="138">
        <f t="shared" si="6"/>
        <v>0</v>
      </c>
      <c r="P16" s="138">
        <f t="shared" si="6"/>
        <v>0</v>
      </c>
    </row>
    <row r="17" spans="1:16">
      <c r="A17" s="860"/>
      <c r="B17" s="109" t="s">
        <v>397</v>
      </c>
      <c r="C17" s="110" t="s">
        <v>70</v>
      </c>
      <c r="D17" s="111">
        <f t="shared" si="2"/>
        <v>1732409.6410000001</v>
      </c>
      <c r="E17" s="138">
        <f>E14</f>
        <v>156138</v>
      </c>
      <c r="F17" s="138">
        <f>F14</f>
        <v>147590</v>
      </c>
      <c r="G17" s="138">
        <f>G14</f>
        <v>47542</v>
      </c>
      <c r="H17" s="138">
        <f t="shared" ref="H17:I17" si="7">H14</f>
        <v>163634</v>
      </c>
      <c r="I17" s="138">
        <f t="shared" si="7"/>
        <v>171373.91</v>
      </c>
      <c r="J17" s="138">
        <f t="shared" ref="J17:P17" si="8">J14</f>
        <v>160703.41699999999</v>
      </c>
      <c r="K17" s="138">
        <f t="shared" si="8"/>
        <v>143624.86900000001</v>
      </c>
      <c r="L17" s="138">
        <f t="shared" si="8"/>
        <v>129818.66800000001</v>
      </c>
      <c r="M17" s="138">
        <f t="shared" si="8"/>
        <v>146544.42000000001</v>
      </c>
      <c r="N17" s="138">
        <f t="shared" si="8"/>
        <v>140927.35699999999</v>
      </c>
      <c r="O17" s="138">
        <f t="shared" si="8"/>
        <v>170077</v>
      </c>
      <c r="P17" s="138">
        <f t="shared" si="8"/>
        <v>154436</v>
      </c>
    </row>
    <row r="18" spans="1:16">
      <c r="A18" s="113"/>
      <c r="B18" s="114"/>
      <c r="C18" s="115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</row>
    <row r="19" spans="1:16">
      <c r="A19" s="109" t="s">
        <v>548</v>
      </c>
      <c r="B19" s="109" t="s">
        <v>395</v>
      </c>
      <c r="C19" s="110" t="s">
        <v>70</v>
      </c>
      <c r="D19" s="111">
        <f>SUM(E19:P19)</f>
        <v>0</v>
      </c>
      <c r="E19" s="111">
        <f t="shared" ref="E19:P19" si="9">SUM(E20:E21)</f>
        <v>0</v>
      </c>
      <c r="F19" s="111">
        <f t="shared" si="9"/>
        <v>0</v>
      </c>
      <c r="G19" s="111">
        <f t="shared" si="9"/>
        <v>0</v>
      </c>
      <c r="H19" s="111">
        <f t="shared" si="9"/>
        <v>0</v>
      </c>
      <c r="I19" s="111">
        <f t="shared" si="9"/>
        <v>0</v>
      </c>
      <c r="J19" s="111">
        <f t="shared" si="9"/>
        <v>0</v>
      </c>
      <c r="K19" s="111">
        <f t="shared" si="9"/>
        <v>0</v>
      </c>
      <c r="L19" s="111">
        <f t="shared" si="9"/>
        <v>0</v>
      </c>
      <c r="M19" s="111">
        <f t="shared" si="9"/>
        <v>0</v>
      </c>
      <c r="N19" s="111">
        <f t="shared" si="9"/>
        <v>0</v>
      </c>
      <c r="O19" s="111">
        <f t="shared" si="9"/>
        <v>0</v>
      </c>
      <c r="P19" s="111">
        <f t="shared" si="9"/>
        <v>0</v>
      </c>
    </row>
    <row r="20" spans="1:16">
      <c r="A20" s="117" t="s">
        <v>399</v>
      </c>
      <c r="B20" s="109" t="s">
        <v>396</v>
      </c>
      <c r="C20" s="110" t="s">
        <v>70</v>
      </c>
      <c r="D20" s="111">
        <f>SUM(E20:P20)</f>
        <v>0</v>
      </c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</row>
    <row r="21" spans="1:16">
      <c r="A21" s="112" t="s">
        <v>400</v>
      </c>
      <c r="B21" s="109" t="s">
        <v>397</v>
      </c>
      <c r="C21" s="110" t="s">
        <v>70</v>
      </c>
      <c r="D21" s="111">
        <f>SUM(E21:P21)</f>
        <v>0</v>
      </c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</row>
    <row r="22" spans="1:16">
      <c r="A22" s="109" t="s">
        <v>243</v>
      </c>
      <c r="B22" s="109" t="s">
        <v>677</v>
      </c>
      <c r="C22" s="106" t="s">
        <v>7</v>
      </c>
      <c r="D22" s="500">
        <f t="shared" ref="D22:P22" si="10">IF(D23=0,0,D19/D23)</f>
        <v>0</v>
      </c>
      <c r="E22" s="500">
        <f t="shared" si="10"/>
        <v>0</v>
      </c>
      <c r="F22" s="500">
        <f t="shared" si="10"/>
        <v>0</v>
      </c>
      <c r="G22" s="500">
        <f t="shared" si="10"/>
        <v>0</v>
      </c>
      <c r="H22" s="500">
        <f t="shared" si="10"/>
        <v>0</v>
      </c>
      <c r="I22" s="500">
        <f t="shared" si="10"/>
        <v>0</v>
      </c>
      <c r="J22" s="500">
        <f t="shared" si="10"/>
        <v>0</v>
      </c>
      <c r="K22" s="500">
        <f t="shared" si="10"/>
        <v>0</v>
      </c>
      <c r="L22" s="500">
        <f t="shared" si="10"/>
        <v>0</v>
      </c>
      <c r="M22" s="500">
        <f t="shared" si="10"/>
        <v>0</v>
      </c>
      <c r="N22" s="500">
        <f t="shared" si="10"/>
        <v>0</v>
      </c>
      <c r="O22" s="500">
        <f t="shared" si="10"/>
        <v>0</v>
      </c>
      <c r="P22" s="500">
        <f t="shared" si="10"/>
        <v>0</v>
      </c>
    </row>
    <row r="23" spans="1:16">
      <c r="A23" s="861" t="s">
        <v>549</v>
      </c>
      <c r="B23" s="118" t="s">
        <v>670</v>
      </c>
      <c r="C23" s="110" t="s">
        <v>70</v>
      </c>
      <c r="D23" s="111">
        <f>SUM(E23:P23)</f>
        <v>0</v>
      </c>
      <c r="E23" s="119">
        <f>SUMPRODUCT($B$25:$B$26,E25:E26)/860</f>
        <v>0</v>
      </c>
      <c r="F23" s="119">
        <f t="shared" ref="F23:P23" si="11">SUMPRODUCT($B$25:$B$26,F25:F26)/860</f>
        <v>0</v>
      </c>
      <c r="G23" s="119">
        <f t="shared" si="11"/>
        <v>0</v>
      </c>
      <c r="H23" s="119">
        <f t="shared" si="11"/>
        <v>0</v>
      </c>
      <c r="I23" s="119">
        <f t="shared" si="11"/>
        <v>0</v>
      </c>
      <c r="J23" s="119">
        <f t="shared" si="11"/>
        <v>0</v>
      </c>
      <c r="K23" s="119">
        <f t="shared" si="11"/>
        <v>0</v>
      </c>
      <c r="L23" s="119">
        <f t="shared" si="11"/>
        <v>0</v>
      </c>
      <c r="M23" s="119">
        <f t="shared" si="11"/>
        <v>0</v>
      </c>
      <c r="N23" s="119">
        <f t="shared" si="11"/>
        <v>0</v>
      </c>
      <c r="O23" s="119">
        <f t="shared" si="11"/>
        <v>0</v>
      </c>
      <c r="P23" s="119">
        <f t="shared" si="11"/>
        <v>0</v>
      </c>
    </row>
    <row r="24" spans="1:16" ht="14.25">
      <c r="A24" s="862"/>
      <c r="B24" s="118" t="s">
        <v>402</v>
      </c>
      <c r="C24" s="106" t="s">
        <v>401</v>
      </c>
      <c r="D24" s="111">
        <f>SUM(E24:P24)</f>
        <v>0</v>
      </c>
      <c r="E24" s="120">
        <f t="shared" ref="E24:P24" si="12">E23*0.86/7</f>
        <v>0</v>
      </c>
      <c r="F24" s="120">
        <f t="shared" si="12"/>
        <v>0</v>
      </c>
      <c r="G24" s="120">
        <f t="shared" si="12"/>
        <v>0</v>
      </c>
      <c r="H24" s="120">
        <f t="shared" si="12"/>
        <v>0</v>
      </c>
      <c r="I24" s="120">
        <f t="shared" si="12"/>
        <v>0</v>
      </c>
      <c r="J24" s="120">
        <f t="shared" si="12"/>
        <v>0</v>
      </c>
      <c r="K24" s="120">
        <f t="shared" si="12"/>
        <v>0</v>
      </c>
      <c r="L24" s="120">
        <f t="shared" si="12"/>
        <v>0</v>
      </c>
      <c r="M24" s="120">
        <f t="shared" si="12"/>
        <v>0</v>
      </c>
      <c r="N24" s="120">
        <f t="shared" si="12"/>
        <v>0</v>
      </c>
      <c r="O24" s="120">
        <f t="shared" si="12"/>
        <v>0</v>
      </c>
      <c r="P24" s="120">
        <f t="shared" si="12"/>
        <v>0</v>
      </c>
    </row>
    <row r="25" spans="1:16" ht="15.75">
      <c r="A25" s="117" t="s">
        <v>550</v>
      </c>
      <c r="B25" s="645">
        <v>8000</v>
      </c>
      <c r="C25" s="646" t="s">
        <v>373</v>
      </c>
      <c r="D25" s="111">
        <f>SUM(E25:P25)</f>
        <v>0</v>
      </c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</row>
    <row r="26" spans="1:16" ht="15.75">
      <c r="A26" s="112" t="s">
        <v>551</v>
      </c>
      <c r="B26" s="645">
        <v>8000</v>
      </c>
      <c r="C26" s="646" t="s">
        <v>373</v>
      </c>
      <c r="D26" s="111">
        <f>SUM(E26:P26)</f>
        <v>0</v>
      </c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</row>
    <row r="27" spans="1:16" s="121" customFormat="1" ht="11.25" customHeight="1"/>
    <row r="28" spans="1:16">
      <c r="A28" s="122" t="s">
        <v>669</v>
      </c>
      <c r="B28" s="118" t="s">
        <v>670</v>
      </c>
      <c r="C28" s="110" t="s">
        <v>70</v>
      </c>
      <c r="D28" s="120">
        <f t="shared" ref="D28:D34" si="13">SUM(E28:P28)</f>
        <v>2737503.5652515697</v>
      </c>
      <c r="E28" s="119">
        <f>SUMPRODUCT($A$30:$A$34,E30:E34)/860</f>
        <v>244009.78542501168</v>
      </c>
      <c r="F28" s="119">
        <f t="shared" ref="F28:P28" si="14">SUMPRODUCT($A$30:$A$34,F30:F34)/860</f>
        <v>228793.78223372094</v>
      </c>
      <c r="G28" s="119">
        <f t="shared" si="14"/>
        <v>73050.870329302328</v>
      </c>
      <c r="H28" s="119">
        <f t="shared" si="14"/>
        <v>255585.82173723253</v>
      </c>
      <c r="I28" s="119">
        <f t="shared" si="14"/>
        <v>267105.83142586041</v>
      </c>
      <c r="J28" s="119">
        <f t="shared" si="14"/>
        <v>250173.69432269767</v>
      </c>
      <c r="K28" s="119">
        <f t="shared" si="14"/>
        <v>236514.22367720929</v>
      </c>
      <c r="L28" s="119">
        <f t="shared" si="14"/>
        <v>211122.35544627908</v>
      </c>
      <c r="M28" s="119">
        <f t="shared" si="14"/>
        <v>238921.84642000005</v>
      </c>
      <c r="N28" s="119">
        <f t="shared" si="14"/>
        <v>224688.17076465121</v>
      </c>
      <c r="O28" s="119">
        <f t="shared" si="14"/>
        <v>265664.38832116278</v>
      </c>
      <c r="P28" s="119">
        <f t="shared" si="14"/>
        <v>241872.79514844183</v>
      </c>
    </row>
    <row r="29" spans="1:16" ht="14.25">
      <c r="A29" s="123"/>
      <c r="B29" s="118" t="s">
        <v>402</v>
      </c>
      <c r="C29" s="106" t="s">
        <v>401</v>
      </c>
      <c r="D29" s="111">
        <f t="shared" si="13"/>
        <v>336321.86658805003</v>
      </c>
      <c r="E29" s="120">
        <f t="shared" ref="E29:P29" si="15">E28*0.86/7</f>
        <v>29978.345066501435</v>
      </c>
      <c r="F29" s="120">
        <f t="shared" si="15"/>
        <v>28108.950388714286</v>
      </c>
      <c r="G29" s="120">
        <f t="shared" si="15"/>
        <v>8974.8212118857155</v>
      </c>
      <c r="H29" s="120">
        <f t="shared" si="15"/>
        <v>31400.543813431424</v>
      </c>
      <c r="I29" s="120">
        <f t="shared" si="15"/>
        <v>32815.859289462845</v>
      </c>
      <c r="J29" s="120">
        <f t="shared" si="15"/>
        <v>30735.625302502856</v>
      </c>
      <c r="K29" s="120">
        <f t="shared" si="15"/>
        <v>29057.461766057142</v>
      </c>
      <c r="L29" s="120">
        <f t="shared" si="15"/>
        <v>25937.889383400001</v>
      </c>
      <c r="M29" s="120">
        <f t="shared" si="15"/>
        <v>29353.255417314293</v>
      </c>
      <c r="N29" s="120">
        <f t="shared" si="15"/>
        <v>27604.546693942862</v>
      </c>
      <c r="O29" s="120">
        <f t="shared" si="15"/>
        <v>32638.767708028572</v>
      </c>
      <c r="P29" s="120">
        <f t="shared" si="15"/>
        <v>29715.800546808568</v>
      </c>
    </row>
    <row r="30" spans="1:16" ht="15.75">
      <c r="A30" s="139">
        <v>8000</v>
      </c>
      <c r="B30" s="118" t="s">
        <v>9</v>
      </c>
      <c r="C30" s="106" t="s">
        <v>373</v>
      </c>
      <c r="D30" s="111">
        <f t="shared" si="13"/>
        <v>0</v>
      </c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</row>
    <row r="31" spans="1:16">
      <c r="A31" s="72">
        <v>9500</v>
      </c>
      <c r="B31" s="118" t="s">
        <v>10</v>
      </c>
      <c r="C31" s="106" t="s">
        <v>23</v>
      </c>
      <c r="D31" s="111">
        <f t="shared" si="13"/>
        <v>1229.2</v>
      </c>
      <c r="E31" s="138">
        <v>130.84</v>
      </c>
      <c r="F31" s="138">
        <v>129.54</v>
      </c>
      <c r="G31" s="138">
        <v>124.32</v>
      </c>
      <c r="H31" s="138">
        <v>76.92</v>
      </c>
      <c r="I31" s="138">
        <v>72.48</v>
      </c>
      <c r="J31" s="138">
        <v>165.02</v>
      </c>
      <c r="K31" s="138">
        <v>104.64</v>
      </c>
      <c r="L31" s="138">
        <v>106.7</v>
      </c>
      <c r="M31" s="138">
        <v>14.02</v>
      </c>
      <c r="N31" s="138">
        <v>112.06</v>
      </c>
      <c r="O31" s="138">
        <v>87.22</v>
      </c>
      <c r="P31" s="138">
        <v>105.44</v>
      </c>
    </row>
    <row r="32" spans="1:16">
      <c r="A32" s="72">
        <v>10500</v>
      </c>
      <c r="B32" s="118" t="s">
        <v>12</v>
      </c>
      <c r="C32" s="106" t="s">
        <v>23</v>
      </c>
      <c r="D32" s="111">
        <f t="shared" si="13"/>
        <v>0</v>
      </c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</row>
    <row r="33" spans="1:16">
      <c r="A33" s="72">
        <v>6000</v>
      </c>
      <c r="B33" s="118" t="s">
        <v>11</v>
      </c>
      <c r="C33" s="106" t="s">
        <v>23</v>
      </c>
      <c r="D33" s="111"/>
      <c r="E33" s="138">
        <v>34767.572577585008</v>
      </c>
      <c r="F33" s="138">
        <v>32588.670453500003</v>
      </c>
      <c r="G33" s="138">
        <v>10273.784747199999</v>
      </c>
      <c r="H33" s="138">
        <v>36512.177782336665</v>
      </c>
      <c r="I33" s="138">
        <v>38170.409171039995</v>
      </c>
      <c r="J33" s="138">
        <v>35596.947852919999</v>
      </c>
      <c r="K33" s="138">
        <v>33734.692060399997</v>
      </c>
      <c r="L33" s="138">
        <v>30091.929280633336</v>
      </c>
      <c r="M33" s="138">
        <v>34223.266320200004</v>
      </c>
      <c r="N33" s="138">
        <v>32027.876142933339</v>
      </c>
      <c r="O33" s="138">
        <v>37940.463992699995</v>
      </c>
      <c r="P33" s="138">
        <v>34501.487304609996</v>
      </c>
    </row>
    <row r="34" spans="1:16" ht="15.75">
      <c r="A34" s="73">
        <v>6000</v>
      </c>
      <c r="B34" s="118" t="s">
        <v>403</v>
      </c>
      <c r="C34" s="106" t="s">
        <v>404</v>
      </c>
      <c r="D34" s="111">
        <f t="shared" si="13"/>
        <v>0</v>
      </c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</row>
    <row r="35" spans="1:16" s="121" customFormat="1"/>
    <row r="36" spans="1:16">
      <c r="A36" s="124" t="s">
        <v>672</v>
      </c>
      <c r="B36" s="125" t="s">
        <v>671</v>
      </c>
      <c r="C36" s="110" t="s">
        <v>70</v>
      </c>
      <c r="D36" s="120">
        <f>SUM(E36:P36)</f>
        <v>591279.94899999991</v>
      </c>
      <c r="E36" s="138">
        <v>52644.805999999997</v>
      </c>
      <c r="F36" s="138">
        <v>48287.998</v>
      </c>
      <c r="G36" s="138">
        <v>14981.004999999999</v>
      </c>
      <c r="H36" s="138">
        <v>55063.034</v>
      </c>
      <c r="I36" s="138">
        <v>55440.213000000003</v>
      </c>
      <c r="J36" s="138">
        <v>51113.144999999997</v>
      </c>
      <c r="K36" s="138">
        <v>53439.453000000001</v>
      </c>
      <c r="L36" s="138">
        <v>46470.646000000001</v>
      </c>
      <c r="M36" s="138">
        <v>54913.091999999997</v>
      </c>
      <c r="N36" s="138">
        <v>49204.173000000003</v>
      </c>
      <c r="O36" s="138">
        <v>57084.286999999997</v>
      </c>
      <c r="P36" s="138">
        <v>52638.097000000002</v>
      </c>
    </row>
    <row r="37" spans="1:16">
      <c r="A37" s="124" t="s">
        <v>673</v>
      </c>
      <c r="B37" s="125"/>
      <c r="C37" s="110" t="s">
        <v>70</v>
      </c>
      <c r="D37" s="111">
        <f>SUM(E37:P37)</f>
        <v>591279.94899999991</v>
      </c>
      <c r="E37" s="138">
        <f>E36</f>
        <v>52644.805999999997</v>
      </c>
      <c r="F37" s="138">
        <f>F36</f>
        <v>48287.998</v>
      </c>
      <c r="G37" s="138">
        <f>G36</f>
        <v>14981.004999999999</v>
      </c>
      <c r="H37" s="138">
        <f t="shared" ref="H37:P37" si="16">H36</f>
        <v>55063.034</v>
      </c>
      <c r="I37" s="138">
        <f t="shared" si="16"/>
        <v>55440.213000000003</v>
      </c>
      <c r="J37" s="138">
        <f t="shared" si="16"/>
        <v>51113.144999999997</v>
      </c>
      <c r="K37" s="138">
        <f t="shared" si="16"/>
        <v>53439.453000000001</v>
      </c>
      <c r="L37" s="138">
        <f t="shared" si="16"/>
        <v>46470.646000000001</v>
      </c>
      <c r="M37" s="138">
        <f t="shared" si="16"/>
        <v>54913.091999999997</v>
      </c>
      <c r="N37" s="138">
        <f t="shared" si="16"/>
        <v>49204.173000000003</v>
      </c>
      <c r="O37" s="138">
        <f t="shared" si="16"/>
        <v>57084.286999999997</v>
      </c>
      <c r="P37" s="138">
        <f t="shared" si="16"/>
        <v>52638.097000000002</v>
      </c>
    </row>
    <row r="38" spans="1:16">
      <c r="A38" s="124" t="s">
        <v>674</v>
      </c>
      <c r="B38" s="125"/>
      <c r="C38" s="110" t="s">
        <v>70</v>
      </c>
      <c r="D38" s="111">
        <f>SUM(E38:P38)</f>
        <v>0</v>
      </c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</row>
    <row r="39" spans="1:16">
      <c r="A39" s="855" t="s">
        <v>16</v>
      </c>
      <c r="B39" s="126"/>
      <c r="C39" s="110" t="s">
        <v>70</v>
      </c>
      <c r="D39" s="120">
        <f>SUM(E39:P39)</f>
        <v>155877.31799999997</v>
      </c>
      <c r="E39" s="138">
        <v>13566.877999999997</v>
      </c>
      <c r="F39" s="138">
        <v>13589.297999999995</v>
      </c>
      <c r="G39" s="138">
        <v>4313.6489999999994</v>
      </c>
      <c r="H39" s="138">
        <v>13743.718000000001</v>
      </c>
      <c r="I39" s="138">
        <v>13796.337000000007</v>
      </c>
      <c r="J39" s="138">
        <v>14139.300999999999</v>
      </c>
      <c r="K39" s="138">
        <v>14812.993000000002</v>
      </c>
      <c r="L39" s="138">
        <v>12806.220000000001</v>
      </c>
      <c r="M39" s="138">
        <v>14346.266999999993</v>
      </c>
      <c r="N39" s="138">
        <v>13497.196000000004</v>
      </c>
      <c r="O39" s="138">
        <v>14284.622999999992</v>
      </c>
      <c r="P39" s="138">
        <v>12980.838000000003</v>
      </c>
    </row>
    <row r="40" spans="1:16">
      <c r="A40" s="855"/>
      <c r="B40" s="126"/>
      <c r="C40" s="106" t="s">
        <v>7</v>
      </c>
      <c r="D40" s="127">
        <f t="shared" ref="D40:P40" si="17">IF(D36=0,0,D39/D36)</f>
        <v>0.2636269304643713</v>
      </c>
      <c r="E40" s="127">
        <f t="shared" si="17"/>
        <v>0.25770591689520134</v>
      </c>
      <c r="F40" s="127">
        <f t="shared" si="17"/>
        <v>0.28142185559235644</v>
      </c>
      <c r="G40" s="127">
        <f t="shared" si="17"/>
        <v>0.28794122957705437</v>
      </c>
      <c r="H40" s="127">
        <f t="shared" si="17"/>
        <v>0.24959972238362313</v>
      </c>
      <c r="I40" s="127">
        <f t="shared" si="17"/>
        <v>0.24885072140686051</v>
      </c>
      <c r="J40" s="127">
        <f t="shared" si="17"/>
        <v>0.27662748985608304</v>
      </c>
      <c r="K40" s="127">
        <f t="shared" si="17"/>
        <v>0.27719207754615305</v>
      </c>
      <c r="L40" s="127">
        <f t="shared" si="17"/>
        <v>0.27557654352384087</v>
      </c>
      <c r="M40" s="127">
        <f t="shared" si="17"/>
        <v>0.26125403756175292</v>
      </c>
      <c r="N40" s="127">
        <f t="shared" si="17"/>
        <v>0.27430998586237804</v>
      </c>
      <c r="O40" s="127">
        <f t="shared" si="17"/>
        <v>0.25023739019460806</v>
      </c>
      <c r="P40" s="127">
        <f t="shared" si="17"/>
        <v>0.2466053816497204</v>
      </c>
    </row>
    <row r="41" spans="1:16" ht="20.25">
      <c r="A41" s="854" t="s">
        <v>405</v>
      </c>
      <c r="B41" s="128" t="s">
        <v>395</v>
      </c>
      <c r="C41" s="110" t="s">
        <v>70</v>
      </c>
      <c r="D41" s="129">
        <f t="shared" ref="D41:D46" si="18">SUM(E41:P41)</f>
        <v>435402.63099999999</v>
      </c>
      <c r="E41" s="111">
        <f t="shared" ref="E41:P41" si="19">SUM(E36,-E39)</f>
        <v>39077.928</v>
      </c>
      <c r="F41" s="111">
        <f t="shared" si="19"/>
        <v>34698.700000000004</v>
      </c>
      <c r="G41" s="111">
        <f t="shared" si="19"/>
        <v>10667.356</v>
      </c>
      <c r="H41" s="111">
        <f t="shared" si="19"/>
        <v>41319.315999999999</v>
      </c>
      <c r="I41" s="111">
        <f t="shared" si="19"/>
        <v>41643.875999999997</v>
      </c>
      <c r="J41" s="111">
        <f t="shared" si="19"/>
        <v>36973.843999999997</v>
      </c>
      <c r="K41" s="111">
        <f t="shared" si="19"/>
        <v>38626.46</v>
      </c>
      <c r="L41" s="111">
        <f t="shared" si="19"/>
        <v>33664.425999999999</v>
      </c>
      <c r="M41" s="111">
        <f t="shared" si="19"/>
        <v>40566.825000000004</v>
      </c>
      <c r="N41" s="111">
        <f t="shared" si="19"/>
        <v>35706.976999999999</v>
      </c>
      <c r="O41" s="111">
        <f t="shared" si="19"/>
        <v>42799.664000000004</v>
      </c>
      <c r="P41" s="111">
        <f t="shared" si="19"/>
        <v>39657.258999999998</v>
      </c>
    </row>
    <row r="42" spans="1:16">
      <c r="A42" s="854"/>
      <c r="B42" s="125" t="s">
        <v>676</v>
      </c>
      <c r="C42" s="110" t="s">
        <v>70</v>
      </c>
      <c r="D42" s="120">
        <f t="shared" si="18"/>
        <v>19213.361999999997</v>
      </c>
      <c r="E42" s="138">
        <v>1663.9559999999999</v>
      </c>
      <c r="F42" s="138">
        <v>1506.33</v>
      </c>
      <c r="G42" s="138">
        <v>681.40800000000002</v>
      </c>
      <c r="H42" s="138">
        <v>1925.028</v>
      </c>
      <c r="I42" s="138">
        <v>1927.17</v>
      </c>
      <c r="J42" s="138">
        <v>1832.4179999999999</v>
      </c>
      <c r="K42" s="138">
        <v>1895.5440000000001</v>
      </c>
      <c r="L42" s="138">
        <v>1766.1420000000001</v>
      </c>
      <c r="M42" s="138">
        <v>1787.184</v>
      </c>
      <c r="N42" s="138">
        <v>1530.6479999999999</v>
      </c>
      <c r="O42" s="138">
        <v>1429.47</v>
      </c>
      <c r="P42" s="138">
        <v>1268.0640000000001</v>
      </c>
    </row>
    <row r="43" spans="1:16">
      <c r="A43" s="854"/>
      <c r="B43" s="125" t="s">
        <v>675</v>
      </c>
      <c r="C43" s="110" t="s">
        <v>70</v>
      </c>
      <c r="D43" s="129">
        <f t="shared" si="18"/>
        <v>416189.26900000003</v>
      </c>
      <c r="E43" s="120">
        <f>SUM(E41,-E42)</f>
        <v>37413.972000000002</v>
      </c>
      <c r="F43" s="120">
        <f t="shared" ref="F43:P43" si="20">SUM(F41,-F42)</f>
        <v>33192.370000000003</v>
      </c>
      <c r="G43" s="120">
        <f t="shared" si="20"/>
        <v>9985.9480000000003</v>
      </c>
      <c r="H43" s="120">
        <f t="shared" si="20"/>
        <v>39394.288</v>
      </c>
      <c r="I43" s="120">
        <f t="shared" si="20"/>
        <v>39716.705999999998</v>
      </c>
      <c r="J43" s="120">
        <f t="shared" si="20"/>
        <v>35141.425999999999</v>
      </c>
      <c r="K43" s="120">
        <f t="shared" si="20"/>
        <v>36730.915999999997</v>
      </c>
      <c r="L43" s="120">
        <f t="shared" si="20"/>
        <v>31898.284</v>
      </c>
      <c r="M43" s="120">
        <f t="shared" si="20"/>
        <v>38779.641000000003</v>
      </c>
      <c r="N43" s="120">
        <f t="shared" si="20"/>
        <v>34176.328999999998</v>
      </c>
      <c r="O43" s="120">
        <f t="shared" si="20"/>
        <v>41370.194000000003</v>
      </c>
      <c r="P43" s="120">
        <f t="shared" si="20"/>
        <v>38389.195</v>
      </c>
    </row>
    <row r="44" spans="1:16">
      <c r="A44" s="854" t="s">
        <v>409</v>
      </c>
      <c r="B44" s="130" t="s">
        <v>406</v>
      </c>
      <c r="C44" s="110" t="s">
        <v>70</v>
      </c>
      <c r="D44" s="111">
        <f t="shared" si="18"/>
        <v>416189.26900000003</v>
      </c>
      <c r="E44" s="111">
        <f>SUM(E43,-E45,-E46)</f>
        <v>37413.972000000002</v>
      </c>
      <c r="F44" s="111">
        <f t="shared" ref="F44:P44" si="21">SUM(F43,-F45,-F46)</f>
        <v>33192.370000000003</v>
      </c>
      <c r="G44" s="111">
        <f t="shared" si="21"/>
        <v>9985.9480000000003</v>
      </c>
      <c r="H44" s="111">
        <f t="shared" si="21"/>
        <v>39394.288</v>
      </c>
      <c r="I44" s="111">
        <f t="shared" si="21"/>
        <v>39716.705999999998</v>
      </c>
      <c r="J44" s="111">
        <f t="shared" si="21"/>
        <v>35141.425999999999</v>
      </c>
      <c r="K44" s="111">
        <f t="shared" si="21"/>
        <v>36730.915999999997</v>
      </c>
      <c r="L44" s="111">
        <f t="shared" si="21"/>
        <v>31898.284</v>
      </c>
      <c r="M44" s="111">
        <f t="shared" si="21"/>
        <v>38779.641000000003</v>
      </c>
      <c r="N44" s="111">
        <f t="shared" si="21"/>
        <v>34176.328999999998</v>
      </c>
      <c r="O44" s="111">
        <f t="shared" si="21"/>
        <v>41370.194000000003</v>
      </c>
      <c r="P44" s="111">
        <f t="shared" si="21"/>
        <v>38389.195</v>
      </c>
    </row>
    <row r="45" spans="1:16">
      <c r="A45" s="854"/>
      <c r="B45" s="130" t="s">
        <v>407</v>
      </c>
      <c r="C45" s="110" t="s">
        <v>70</v>
      </c>
      <c r="D45" s="111">
        <f t="shared" si="18"/>
        <v>0</v>
      </c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</row>
    <row r="46" spans="1:16">
      <c r="A46" s="854"/>
      <c r="B46" s="130" t="s">
        <v>408</v>
      </c>
      <c r="C46" s="110" t="s">
        <v>70</v>
      </c>
      <c r="D46" s="111">
        <f t="shared" si="18"/>
        <v>0</v>
      </c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</row>
    <row r="47" spans="1:16">
      <c r="A47" s="853" t="s">
        <v>746</v>
      </c>
      <c r="B47" s="207" t="s">
        <v>396</v>
      </c>
      <c r="C47" s="110" t="s">
        <v>164</v>
      </c>
      <c r="D47" s="118"/>
      <c r="E47" s="138"/>
      <c r="F47" s="138"/>
      <c r="G47" s="138"/>
      <c r="H47" s="138"/>
      <c r="I47" s="138">
        <v>45</v>
      </c>
      <c r="J47" s="138">
        <v>55</v>
      </c>
      <c r="K47" s="138">
        <v>62</v>
      </c>
      <c r="L47" s="138">
        <v>62</v>
      </c>
      <c r="M47" s="138">
        <v>55</v>
      </c>
      <c r="N47" s="138">
        <v>45</v>
      </c>
      <c r="O47" s="138"/>
      <c r="P47" s="138"/>
    </row>
    <row r="48" spans="1:16">
      <c r="A48" s="853"/>
      <c r="B48" s="636" t="s">
        <v>397</v>
      </c>
      <c r="C48" s="110" t="s">
        <v>164</v>
      </c>
      <c r="D48" s="109"/>
      <c r="E48" s="138">
        <v>125</v>
      </c>
      <c r="F48" s="138">
        <v>125</v>
      </c>
      <c r="G48" s="138">
        <v>125</v>
      </c>
      <c r="H48" s="138">
        <v>125</v>
      </c>
      <c r="I48" s="138">
        <v>125</v>
      </c>
      <c r="J48" s="138">
        <v>125</v>
      </c>
      <c r="K48" s="138">
        <v>125</v>
      </c>
      <c r="L48" s="138">
        <v>125</v>
      </c>
      <c r="M48" s="138">
        <v>125</v>
      </c>
      <c r="N48" s="138">
        <v>125</v>
      </c>
      <c r="O48" s="138">
        <v>125</v>
      </c>
      <c r="P48" s="138">
        <v>125</v>
      </c>
    </row>
    <row r="49" spans="1:16">
      <c r="A49" s="233"/>
      <c r="B49" s="637"/>
      <c r="C49" s="115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</row>
    <row r="50" spans="1:16">
      <c r="A50" s="233"/>
      <c r="B50" s="637"/>
      <c r="C50" s="115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</row>
    <row r="51" spans="1:16">
      <c r="B51" s="132" t="str">
        <f>'[1]Разходи-Произв.'!$A$79</f>
        <v>Гл. счетоводител:</v>
      </c>
      <c r="C51" s="102"/>
      <c r="G51" s="133" t="str">
        <f>'[1]Разходи-Произв.'!$E$79</f>
        <v>Изп. директор:</v>
      </c>
      <c r="I51" s="134"/>
      <c r="J51" s="134"/>
    </row>
    <row r="52" spans="1:16">
      <c r="A52" s="131"/>
      <c r="C52" s="135" t="str">
        <f>Разходи!$B$93</f>
        <v>/ П.Маринова/</v>
      </c>
      <c r="G52" s="134"/>
      <c r="H52" s="136" t="str">
        <f>Разходи!$F$93</f>
        <v>/ Янилин Павлов /</v>
      </c>
      <c r="I52" s="136"/>
      <c r="J52" s="136"/>
    </row>
    <row r="53" spans="1:16">
      <c r="A53" s="131"/>
      <c r="B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</row>
    <row r="54" spans="1:16" hidden="1">
      <c r="A54" s="131"/>
      <c r="B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</row>
    <row r="55" spans="1:16" hidden="1">
      <c r="A55" s="131"/>
      <c r="B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</row>
    <row r="56" spans="1:16" hidden="1">
      <c r="A56" s="131"/>
      <c r="B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</row>
    <row r="57" spans="1:16" hidden="1">
      <c r="A57" s="131"/>
      <c r="B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</row>
    <row r="58" spans="1:16" hidden="1">
      <c r="A58" s="131"/>
      <c r="B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</row>
    <row r="59" spans="1:16" hidden="1">
      <c r="A59" s="131"/>
      <c r="B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</row>
    <row r="60" spans="1:16" hidden="1">
      <c r="A60" s="131"/>
      <c r="B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</row>
    <row r="61" spans="1:16" hidden="1">
      <c r="A61" s="131"/>
      <c r="B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</row>
    <row r="62" spans="1:16" hidden="1">
      <c r="A62" s="131"/>
      <c r="B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</row>
    <row r="63" spans="1:16" hidden="1">
      <c r="A63" s="131"/>
      <c r="B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</row>
    <row r="64" spans="1:16" hidden="1">
      <c r="A64" s="131"/>
      <c r="B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</row>
    <row r="65" spans="1:16" hidden="1">
      <c r="A65" s="131"/>
      <c r="B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</row>
    <row r="66" spans="1:16" hidden="1">
      <c r="A66" s="131"/>
      <c r="B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</row>
    <row r="67" spans="1:16" hidden="1">
      <c r="A67" s="131"/>
      <c r="B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</row>
    <row r="68" spans="1:16" hidden="1">
      <c r="A68" s="131"/>
      <c r="B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</row>
    <row r="69" spans="1:16" hidden="1">
      <c r="A69" s="131"/>
      <c r="B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</row>
    <row r="70" spans="1:16" hidden="1">
      <c r="A70" s="131"/>
      <c r="B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</row>
    <row r="71" spans="1:16" hidden="1">
      <c r="A71" s="131"/>
      <c r="B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</row>
    <row r="72" spans="1:16" hidden="1">
      <c r="A72" s="131"/>
      <c r="B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</row>
    <row r="73" spans="1:16" hidden="1">
      <c r="A73" s="131"/>
      <c r="B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</row>
    <row r="74" spans="1:16" hidden="1">
      <c r="A74" s="131"/>
      <c r="B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</row>
    <row r="75" spans="1:16" hidden="1">
      <c r="A75" s="131"/>
      <c r="B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</row>
    <row r="76" spans="1:16" hidden="1">
      <c r="A76" s="131"/>
      <c r="B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</row>
    <row r="77" spans="1:16" hidden="1">
      <c r="A77" s="131"/>
      <c r="B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</row>
    <row r="78" spans="1:16" hidden="1">
      <c r="A78" s="131"/>
      <c r="B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</row>
    <row r="79" spans="1:16" hidden="1">
      <c r="A79" s="131"/>
      <c r="B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</row>
    <row r="80" spans="1:16" hidden="1">
      <c r="A80" s="131"/>
      <c r="B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</row>
    <row r="81" spans="1:16" hidden="1">
      <c r="A81" s="131"/>
      <c r="B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</row>
    <row r="82" spans="1:16" hidden="1">
      <c r="A82" s="131"/>
      <c r="B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</row>
    <row r="83" spans="1:16" hidden="1">
      <c r="A83" s="131"/>
      <c r="B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</row>
    <row r="84" spans="1:16" hidden="1">
      <c r="A84" s="131"/>
      <c r="B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</row>
    <row r="85" spans="1:16" hidden="1">
      <c r="A85" s="131"/>
      <c r="B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</row>
    <row r="86" spans="1:16" hidden="1">
      <c r="A86" s="131"/>
      <c r="B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</row>
    <row r="87" spans="1:16" hidden="1">
      <c r="A87" s="131"/>
      <c r="B87" s="131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</row>
    <row r="88" spans="1:16" hidden="1">
      <c r="A88" s="131"/>
      <c r="B88" s="131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</row>
    <row r="89" spans="1:16" hidden="1">
      <c r="A89" s="131"/>
      <c r="B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</row>
    <row r="90" spans="1:16" hidden="1">
      <c r="A90" s="131"/>
      <c r="B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</row>
    <row r="91" spans="1:16" hidden="1">
      <c r="A91" s="131"/>
      <c r="B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</row>
    <row r="92" spans="1:16" hidden="1">
      <c r="A92" s="131"/>
      <c r="B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</row>
    <row r="93" spans="1:16" hidden="1">
      <c r="A93" s="131"/>
      <c r="B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</row>
    <row r="94" spans="1:16" hidden="1">
      <c r="A94" s="131"/>
      <c r="B94" s="13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</row>
    <row r="95" spans="1:16" hidden="1">
      <c r="A95" s="131"/>
      <c r="B95" s="131"/>
      <c r="D95" s="131"/>
      <c r="E95" s="131"/>
      <c r="F95" s="131"/>
      <c r="G95" s="131"/>
      <c r="H95" s="131"/>
      <c r="I95" s="131"/>
      <c r="J95" s="131"/>
      <c r="K95" s="131"/>
      <c r="L95" s="131"/>
      <c r="M95" s="131"/>
      <c r="N95" s="131"/>
      <c r="O95" s="131"/>
      <c r="P95" s="131"/>
    </row>
    <row r="96" spans="1:16" hidden="1">
      <c r="A96" s="131"/>
      <c r="B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</row>
    <row r="97" spans="1:16" hidden="1">
      <c r="A97" s="131"/>
      <c r="B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</row>
    <row r="98" spans="1:16" hidden="1">
      <c r="A98" s="131"/>
      <c r="B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</row>
    <row r="99" spans="1:16" hidden="1">
      <c r="A99" s="131"/>
      <c r="B99" s="131"/>
      <c r="D99" s="131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</row>
    <row r="100" spans="1:16" hidden="1">
      <c r="A100" s="131"/>
      <c r="B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</row>
    <row r="101" spans="1:16" hidden="1">
      <c r="A101" s="131"/>
      <c r="B101" s="131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</row>
    <row r="102" spans="1:16" hidden="1">
      <c r="A102" s="131"/>
      <c r="B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</row>
    <row r="103" spans="1:16" hidden="1">
      <c r="A103" s="131"/>
      <c r="B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</row>
    <row r="104" spans="1:16" hidden="1">
      <c r="A104" s="131"/>
      <c r="B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</row>
    <row r="105" spans="1:16" hidden="1">
      <c r="A105" s="131"/>
      <c r="B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</row>
    <row r="106" spans="1:16" hidden="1">
      <c r="A106" s="131"/>
      <c r="B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</row>
    <row r="107" spans="1:16" hidden="1">
      <c r="A107" s="131"/>
      <c r="B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</row>
    <row r="108" spans="1:16" hidden="1">
      <c r="A108" s="131"/>
      <c r="B108" s="131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</row>
    <row r="109" spans="1:16" hidden="1">
      <c r="A109" s="131"/>
      <c r="B109" s="131"/>
      <c r="D109" s="131"/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</row>
    <row r="110" spans="1:16" hidden="1">
      <c r="A110" s="131"/>
      <c r="B110" s="131"/>
      <c r="D110" s="131"/>
      <c r="E110" s="131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</row>
    <row r="111" spans="1:16" hidden="1">
      <c r="A111" s="131"/>
      <c r="B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</row>
    <row r="112" spans="1:16" hidden="1">
      <c r="A112" s="131"/>
      <c r="B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</row>
    <row r="113" spans="1:16" hidden="1">
      <c r="A113" s="131"/>
      <c r="B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</row>
    <row r="114" spans="1:16" hidden="1">
      <c r="A114" s="131"/>
      <c r="B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</row>
    <row r="115" spans="1:16" hidden="1">
      <c r="A115" s="131"/>
      <c r="B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</row>
    <row r="116" spans="1:16" hidden="1">
      <c r="A116" s="131"/>
      <c r="B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</row>
    <row r="117" spans="1:16" hidden="1">
      <c r="A117" s="131"/>
      <c r="B117" s="131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</row>
    <row r="118" spans="1:16" hidden="1">
      <c r="A118" s="131"/>
      <c r="B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</row>
    <row r="119" spans="1:16" hidden="1">
      <c r="A119" s="131"/>
      <c r="B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</row>
    <row r="120" spans="1:16" hidden="1">
      <c r="A120" s="131"/>
      <c r="B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</row>
    <row r="121" spans="1:16" hidden="1">
      <c r="A121" s="131"/>
      <c r="B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</row>
    <row r="122" spans="1:16" hidden="1">
      <c r="A122" s="131"/>
      <c r="B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  <c r="O122" s="131"/>
      <c r="P122" s="131"/>
    </row>
    <row r="123" spans="1:16" hidden="1">
      <c r="A123" s="131"/>
      <c r="B123" s="131"/>
      <c r="D123" s="131"/>
      <c r="E123" s="131"/>
      <c r="F123" s="131"/>
      <c r="G123" s="131"/>
      <c r="H123" s="131"/>
      <c r="I123" s="131"/>
      <c r="J123" s="131"/>
      <c r="K123" s="131"/>
      <c r="L123" s="131"/>
      <c r="M123" s="131"/>
      <c r="N123" s="131"/>
      <c r="O123" s="131"/>
      <c r="P123" s="131"/>
    </row>
    <row r="124" spans="1:16" hidden="1">
      <c r="A124" s="131"/>
      <c r="B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1"/>
      <c r="N124" s="131"/>
      <c r="O124" s="131"/>
      <c r="P124" s="131"/>
    </row>
    <row r="125" spans="1:16" hidden="1">
      <c r="A125" s="131"/>
      <c r="B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</row>
    <row r="126" spans="1:16" hidden="1">
      <c r="A126" s="131"/>
      <c r="B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</row>
    <row r="127" spans="1:16" hidden="1">
      <c r="A127" s="131"/>
      <c r="B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</row>
    <row r="128" spans="1:16" hidden="1">
      <c r="A128" s="131"/>
      <c r="B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</row>
    <row r="129" spans="1:16" hidden="1">
      <c r="A129" s="131"/>
      <c r="B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</row>
    <row r="130" spans="1:16" hidden="1">
      <c r="A130" s="131"/>
      <c r="B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</row>
    <row r="131" spans="1:16" hidden="1">
      <c r="A131" s="131"/>
      <c r="B131" s="131"/>
      <c r="D131" s="131"/>
      <c r="E131" s="131"/>
      <c r="F131" s="131"/>
      <c r="G131" s="131"/>
      <c r="H131" s="131"/>
      <c r="I131" s="131"/>
      <c r="J131" s="131"/>
      <c r="K131" s="131"/>
      <c r="L131" s="131"/>
      <c r="M131" s="131"/>
      <c r="N131" s="131"/>
      <c r="O131" s="131"/>
      <c r="P131" s="131"/>
    </row>
    <row r="132" spans="1:16" hidden="1">
      <c r="A132" s="131"/>
      <c r="B132" s="131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1"/>
      <c r="O132" s="131"/>
      <c r="P132" s="131"/>
    </row>
    <row r="133" spans="1:16" hidden="1">
      <c r="A133" s="131"/>
      <c r="B133" s="131"/>
      <c r="D133" s="131"/>
      <c r="E133" s="131"/>
      <c r="F133" s="131"/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</row>
    <row r="134" spans="1:16" hidden="1">
      <c r="A134" s="131"/>
      <c r="B134" s="131"/>
      <c r="D134" s="131"/>
      <c r="E134" s="131"/>
      <c r="F134" s="131"/>
      <c r="G134" s="131"/>
      <c r="H134" s="131"/>
      <c r="I134" s="131"/>
      <c r="J134" s="131"/>
      <c r="K134" s="131"/>
      <c r="L134" s="131"/>
      <c r="M134" s="131"/>
      <c r="N134" s="131"/>
      <c r="O134" s="131"/>
      <c r="P134" s="131"/>
    </row>
    <row r="135" spans="1:16" hidden="1">
      <c r="A135" s="131"/>
      <c r="B135" s="131"/>
      <c r="D135" s="131"/>
      <c r="E135" s="131"/>
      <c r="F135" s="131"/>
      <c r="G135" s="131"/>
      <c r="H135" s="131"/>
      <c r="I135" s="131"/>
      <c r="J135" s="131"/>
      <c r="K135" s="131"/>
      <c r="L135" s="131"/>
      <c r="M135" s="131"/>
      <c r="N135" s="131"/>
      <c r="O135" s="131"/>
      <c r="P135" s="131"/>
    </row>
    <row r="136" spans="1:16" hidden="1">
      <c r="A136" s="131"/>
      <c r="B136" s="131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1"/>
      <c r="O136" s="131"/>
      <c r="P136" s="131"/>
    </row>
    <row r="137" spans="1:16" hidden="1">
      <c r="A137" s="131"/>
      <c r="B137" s="131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  <c r="N137" s="131"/>
      <c r="O137" s="131"/>
      <c r="P137" s="131"/>
    </row>
    <row r="138" spans="1:16" hidden="1">
      <c r="A138" s="131"/>
      <c r="B138" s="131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1"/>
      <c r="O138" s="131"/>
      <c r="P138" s="131"/>
    </row>
    <row r="139" spans="1:16" hidden="1">
      <c r="A139" s="131"/>
      <c r="B139" s="131"/>
      <c r="D139" s="131"/>
      <c r="E139" s="131"/>
      <c r="F139" s="131"/>
      <c r="G139" s="131"/>
      <c r="H139" s="131"/>
      <c r="I139" s="131"/>
      <c r="J139" s="131"/>
      <c r="K139" s="131"/>
      <c r="L139" s="131"/>
      <c r="M139" s="131"/>
      <c r="N139" s="131"/>
      <c r="O139" s="131"/>
      <c r="P139" s="131"/>
    </row>
    <row r="140" spans="1:16" hidden="1">
      <c r="A140" s="131"/>
      <c r="B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</row>
    <row r="141" spans="1:16" hidden="1">
      <c r="A141" s="131"/>
      <c r="B141" s="131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</row>
    <row r="142" spans="1:16" hidden="1">
      <c r="A142" s="131"/>
      <c r="B142" s="131"/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</row>
    <row r="143" spans="1:16" hidden="1">
      <c r="A143" s="131"/>
      <c r="B143" s="131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</row>
    <row r="144" spans="1:16" hidden="1">
      <c r="A144" s="131"/>
      <c r="B144" s="131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</row>
    <row r="145" spans="1:16" hidden="1">
      <c r="A145" s="131"/>
      <c r="B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</row>
    <row r="146" spans="1:16" hidden="1">
      <c r="A146" s="131"/>
      <c r="B146" s="131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</row>
    <row r="147" spans="1:16" hidden="1">
      <c r="A147" s="131"/>
      <c r="B147" s="131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</row>
    <row r="148" spans="1:16" hidden="1">
      <c r="A148" s="131"/>
      <c r="B148" s="131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</row>
    <row r="149" spans="1:16" hidden="1">
      <c r="A149" s="131"/>
      <c r="B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6" activePane="bottomLeft" state="frozen"/>
      <selection pane="bottomLeft" activeCell="P14" sqref="P14"/>
    </sheetView>
  </sheetViews>
  <sheetFormatPr defaultColWidth="0" defaultRowHeight="12.75" customHeight="1" zeroHeight="1"/>
  <cols>
    <col min="1" max="1" width="19.42578125" style="102" customWidth="1"/>
    <col min="2" max="2" width="20.42578125" style="102" customWidth="1"/>
    <col min="3" max="3" width="9.140625" style="105" bestFit="1" customWidth="1"/>
    <col min="4" max="4" width="12" style="102" customWidth="1"/>
    <col min="5" max="17" width="9.5703125" style="102" customWidth="1"/>
    <col min="18" max="20" width="9.5703125" style="102" hidden="1" customWidth="1"/>
    <col min="21" max="21" width="11.5703125" style="102" hidden="1" customWidth="1"/>
    <col min="22" max="22" width="11.42578125" style="102" hidden="1" customWidth="1"/>
    <col min="23" max="23" width="0" style="102" hidden="1" customWidth="1"/>
    <col min="24" max="16384" width="0" style="102" hidden="1"/>
  </cols>
  <sheetData>
    <row r="1" spans="1:16" ht="12.75" customHeight="1">
      <c r="A1" s="856" t="s">
        <v>601</v>
      </c>
      <c r="B1" s="856"/>
      <c r="C1" s="856"/>
      <c r="K1" s="103"/>
      <c r="L1" s="103"/>
      <c r="M1" s="103"/>
      <c r="N1" s="103"/>
      <c r="O1" s="103"/>
      <c r="P1" s="132" t="s">
        <v>699</v>
      </c>
    </row>
    <row r="2" spans="1:16">
      <c r="A2" s="857" t="str">
        <f>'ТИП-ПРОИЗ'!B3</f>
        <v>"БРИКЕЛ" ЕАД</v>
      </c>
      <c r="B2" s="857"/>
      <c r="C2" s="857"/>
      <c r="K2" s="103"/>
      <c r="L2" s="103"/>
      <c r="M2" s="103"/>
      <c r="N2" s="103"/>
      <c r="O2" s="103"/>
      <c r="P2" s="103"/>
    </row>
    <row r="3" spans="1:16"/>
    <row r="4" spans="1:16">
      <c r="A4" s="872">
        <f>'ТИП-ПРОИЗ'!F6</f>
        <v>2020</v>
      </c>
      <c r="B4" s="873"/>
      <c r="C4" s="868" t="s">
        <v>161</v>
      </c>
      <c r="D4" s="667" t="s">
        <v>394</v>
      </c>
      <c r="E4" s="107">
        <f>DATE($A$4,D5,1)</f>
        <v>44013</v>
      </c>
      <c r="F4" s="107">
        <f t="shared" ref="F4:P4" si="0">DATE($A$4,$D$5+E5,1)</f>
        <v>44044</v>
      </c>
      <c r="G4" s="107">
        <f t="shared" si="0"/>
        <v>44075</v>
      </c>
      <c r="H4" s="107">
        <f t="shared" si="0"/>
        <v>44105</v>
      </c>
      <c r="I4" s="107">
        <f t="shared" si="0"/>
        <v>44136</v>
      </c>
      <c r="J4" s="107">
        <f t="shared" si="0"/>
        <v>44166</v>
      </c>
      <c r="K4" s="107">
        <f t="shared" si="0"/>
        <v>44197</v>
      </c>
      <c r="L4" s="107">
        <f t="shared" si="0"/>
        <v>44228</v>
      </c>
      <c r="M4" s="107">
        <f t="shared" si="0"/>
        <v>44256</v>
      </c>
      <c r="N4" s="107">
        <f t="shared" si="0"/>
        <v>44287</v>
      </c>
      <c r="O4" s="107">
        <f t="shared" si="0"/>
        <v>44317</v>
      </c>
      <c r="P4" s="107">
        <f t="shared" si="0"/>
        <v>44348</v>
      </c>
    </row>
    <row r="5" spans="1:16">
      <c r="A5" s="874"/>
      <c r="B5" s="875"/>
      <c r="C5" s="868"/>
      <c r="D5" s="137">
        <v>7</v>
      </c>
      <c r="E5" s="108">
        <v>1</v>
      </c>
      <c r="F5" s="108">
        <v>2</v>
      </c>
      <c r="G5" s="108">
        <v>3</v>
      </c>
      <c r="H5" s="108">
        <v>4</v>
      </c>
      <c r="I5" s="108">
        <v>5</v>
      </c>
      <c r="J5" s="108">
        <v>6</v>
      </c>
      <c r="K5" s="108">
        <v>7</v>
      </c>
      <c r="L5" s="108">
        <v>8</v>
      </c>
      <c r="M5" s="108">
        <v>9</v>
      </c>
      <c r="N5" s="108">
        <v>10</v>
      </c>
      <c r="O5" s="108">
        <v>11</v>
      </c>
      <c r="P5" s="108">
        <v>12</v>
      </c>
    </row>
    <row r="6" spans="1:16" ht="12.75" customHeight="1">
      <c r="A6" s="867" t="s">
        <v>703</v>
      </c>
      <c r="B6" s="531" t="s">
        <v>705</v>
      </c>
      <c r="C6" s="532"/>
      <c r="D6" s="111"/>
      <c r="E6" s="138">
        <v>3</v>
      </c>
      <c r="F6" s="138">
        <v>3</v>
      </c>
      <c r="G6" s="138">
        <v>3</v>
      </c>
      <c r="H6" s="138">
        <v>3</v>
      </c>
      <c r="I6" s="138">
        <v>3</v>
      </c>
      <c r="J6" s="138">
        <v>3</v>
      </c>
      <c r="K6" s="138">
        <v>3</v>
      </c>
      <c r="L6" s="138">
        <v>3</v>
      </c>
      <c r="M6" s="138">
        <v>3</v>
      </c>
      <c r="N6" s="138">
        <v>3</v>
      </c>
      <c r="O6" s="138">
        <v>3</v>
      </c>
      <c r="P6" s="138">
        <v>3</v>
      </c>
    </row>
    <row r="7" spans="1:16" ht="12.75" customHeight="1">
      <c r="A7" s="867"/>
      <c r="B7" s="531" t="s">
        <v>706</v>
      </c>
      <c r="C7" s="532"/>
      <c r="D7" s="111"/>
      <c r="E7" s="138">
        <v>3</v>
      </c>
      <c r="F7" s="138">
        <v>3</v>
      </c>
      <c r="G7" s="138">
        <v>3</v>
      </c>
      <c r="H7" s="138">
        <v>3</v>
      </c>
      <c r="I7" s="138">
        <v>3</v>
      </c>
      <c r="J7" s="138">
        <v>3</v>
      </c>
      <c r="K7" s="138">
        <v>3</v>
      </c>
      <c r="L7" s="138">
        <v>3</v>
      </c>
      <c r="M7" s="138">
        <v>3</v>
      </c>
      <c r="N7" s="138">
        <v>3</v>
      </c>
      <c r="O7" s="138">
        <v>3</v>
      </c>
      <c r="P7" s="138">
        <v>3</v>
      </c>
    </row>
    <row r="8" spans="1:16">
      <c r="A8" s="867"/>
      <c r="B8" s="533" t="s">
        <v>704</v>
      </c>
      <c r="C8" s="533"/>
      <c r="D8" s="111"/>
      <c r="E8" s="530"/>
      <c r="F8" s="530"/>
      <c r="G8" s="530"/>
      <c r="H8" s="530"/>
      <c r="I8" s="530"/>
      <c r="J8" s="530"/>
      <c r="K8" s="530"/>
      <c r="L8" s="530"/>
      <c r="M8" s="530"/>
      <c r="N8" s="530"/>
      <c r="O8" s="530"/>
      <c r="P8" s="530"/>
    </row>
    <row r="9" spans="1:16">
      <c r="A9" s="869" t="s">
        <v>547</v>
      </c>
      <c r="B9" s="109" t="s">
        <v>395</v>
      </c>
      <c r="C9" s="110" t="s">
        <v>70</v>
      </c>
      <c r="D9" s="111">
        <f>SUM(E9:P9)</f>
        <v>1514950.2892771261</v>
      </c>
      <c r="E9" s="111">
        <f>SUM(E10:E11)</f>
        <v>140455.10500000001</v>
      </c>
      <c r="F9" s="111">
        <f t="shared" ref="F9:P9" si="1">SUM(F10:F11)</f>
        <v>132797.20000000001</v>
      </c>
      <c r="G9" s="111">
        <f t="shared" si="1"/>
        <v>42788.983</v>
      </c>
      <c r="H9" s="111">
        <f t="shared" si="1"/>
        <v>147198.274</v>
      </c>
      <c r="I9" s="111">
        <f t="shared" si="1"/>
        <v>156004.416</v>
      </c>
      <c r="J9" s="111">
        <f t="shared" si="1"/>
        <v>147033.019</v>
      </c>
      <c r="K9" s="111">
        <f t="shared" si="1"/>
        <v>132100.25399999999</v>
      </c>
      <c r="L9" s="111">
        <f t="shared" si="1"/>
        <v>126727.40691859619</v>
      </c>
      <c r="M9" s="111">
        <f t="shared" si="1"/>
        <v>125067.15891859619</v>
      </c>
      <c r="N9" s="111">
        <f t="shared" si="1"/>
        <v>121432.09806995041</v>
      </c>
      <c r="O9" s="111">
        <f t="shared" si="1"/>
        <v>123854.91330003287</v>
      </c>
      <c r="P9" s="111">
        <f t="shared" si="1"/>
        <v>119491.46106995041</v>
      </c>
    </row>
    <row r="10" spans="1:16">
      <c r="A10" s="870"/>
      <c r="B10" s="109" t="s">
        <v>396</v>
      </c>
      <c r="C10" s="110" t="s">
        <v>70</v>
      </c>
      <c r="D10" s="120">
        <f t="shared" ref="D10:D17" si="2">SUM(E10:P10)</f>
        <v>18501.823</v>
      </c>
      <c r="E10" s="138"/>
      <c r="F10" s="138"/>
      <c r="G10" s="138"/>
      <c r="H10" s="138"/>
      <c r="I10" s="138">
        <v>1992.8530000000001</v>
      </c>
      <c r="J10" s="138">
        <v>2666.799</v>
      </c>
      <c r="K10" s="138">
        <v>5019.71</v>
      </c>
      <c r="L10" s="138">
        <v>4271.0360000000001</v>
      </c>
      <c r="M10" s="138">
        <v>2610.788</v>
      </c>
      <c r="N10" s="138">
        <v>1940.6369999999999</v>
      </c>
      <c r="O10" s="138"/>
      <c r="P10" s="138"/>
    </row>
    <row r="11" spans="1:16">
      <c r="A11" s="871"/>
      <c r="B11" s="109" t="s">
        <v>397</v>
      </c>
      <c r="C11" s="110" t="s">
        <v>70</v>
      </c>
      <c r="D11" s="120">
        <f>SUM(E11:P11)</f>
        <v>1496448.466277126</v>
      </c>
      <c r="E11" s="138">
        <v>140455.10500000001</v>
      </c>
      <c r="F11" s="138">
        <v>132797.20000000001</v>
      </c>
      <c r="G11" s="138">
        <v>42788.983</v>
      </c>
      <c r="H11" s="138">
        <v>147198.274</v>
      </c>
      <c r="I11" s="138">
        <v>154011.56299999999</v>
      </c>
      <c r="J11" s="138">
        <v>144366.22</v>
      </c>
      <c r="K11" s="138">
        <v>127080.54399999999</v>
      </c>
      <c r="L11" s="138">
        <v>122456.37091859619</v>
      </c>
      <c r="M11" s="138">
        <v>122456.37091859619</v>
      </c>
      <c r="N11" s="138">
        <v>119491.46106995041</v>
      </c>
      <c r="O11" s="138">
        <v>123854.91330003287</v>
      </c>
      <c r="P11" s="138">
        <v>119491.46106995041</v>
      </c>
    </row>
    <row r="12" spans="1:16">
      <c r="A12" s="858" t="s">
        <v>751</v>
      </c>
      <c r="B12" s="109" t="s">
        <v>395</v>
      </c>
      <c r="C12" s="110" t="s">
        <v>70</v>
      </c>
      <c r="D12" s="120">
        <f t="shared" si="2"/>
        <v>1711881.625574782</v>
      </c>
      <c r="E12" s="111">
        <f t="shared" ref="E12:P12" si="3">SUM(E13:E14)</f>
        <v>140837.79560882229</v>
      </c>
      <c r="F12" s="111">
        <f t="shared" si="3"/>
        <v>129182.26334964971</v>
      </c>
      <c r="G12" s="111">
        <f t="shared" si="3"/>
        <v>40077.870553929759</v>
      </c>
      <c r="H12" s="111">
        <f t="shared" si="3"/>
        <v>147307.14988471288</v>
      </c>
      <c r="I12" s="111">
        <f t="shared" si="3"/>
        <v>150400.28641648166</v>
      </c>
      <c r="J12" s="111">
        <f t="shared" si="3"/>
        <v>139539.80896709915</v>
      </c>
      <c r="K12" s="111">
        <f t="shared" si="3"/>
        <v>146845.57399999999</v>
      </c>
      <c r="L12" s="111">
        <f t="shared" si="3"/>
        <v>167359.16672084457</v>
      </c>
      <c r="M12" s="111">
        <f t="shared" si="3"/>
        <v>165645.41472084456</v>
      </c>
      <c r="N12" s="111">
        <f t="shared" si="3"/>
        <v>160968.32777100231</v>
      </c>
      <c r="O12" s="111">
        <f t="shared" si="3"/>
        <v>164761.28281039282</v>
      </c>
      <c r="P12" s="111">
        <f t="shared" si="3"/>
        <v>158956.6847710023</v>
      </c>
    </row>
    <row r="13" spans="1:16">
      <c r="A13" s="859"/>
      <c r="B13" s="109" t="s">
        <v>396</v>
      </c>
      <c r="C13" s="110" t="s">
        <v>70</v>
      </c>
      <c r="D13" s="120">
        <f t="shared" si="2"/>
        <v>19329.359</v>
      </c>
      <c r="E13" s="138"/>
      <c r="F13" s="138"/>
      <c r="G13" s="138"/>
      <c r="H13" s="138"/>
      <c r="I13" s="138">
        <v>2084.0899999999997</v>
      </c>
      <c r="J13" s="138">
        <v>2799.5829999999996</v>
      </c>
      <c r="K13" s="138">
        <v>5231.1310000000003</v>
      </c>
      <c r="L13" s="138">
        <v>4458.3320000000003</v>
      </c>
      <c r="M13" s="138">
        <v>2744.58</v>
      </c>
      <c r="N13" s="138">
        <v>2011.6429999999998</v>
      </c>
      <c r="O13" s="138"/>
      <c r="P13" s="138"/>
    </row>
    <row r="14" spans="1:16">
      <c r="A14" s="860"/>
      <c r="B14" s="109" t="s">
        <v>397</v>
      </c>
      <c r="C14" s="110" t="s">
        <v>70</v>
      </c>
      <c r="D14" s="120">
        <f t="shared" si="2"/>
        <v>1692552.2665747821</v>
      </c>
      <c r="E14" s="138">
        <v>140837.79560882229</v>
      </c>
      <c r="F14" s="138">
        <v>129182.26334964971</v>
      </c>
      <c r="G14" s="138">
        <v>40077.870553929759</v>
      </c>
      <c r="H14" s="138">
        <v>147307.14988471288</v>
      </c>
      <c r="I14" s="138">
        <v>148316.19641648166</v>
      </c>
      <c r="J14" s="138">
        <v>136740.22596709913</v>
      </c>
      <c r="K14" s="138">
        <v>141614.443</v>
      </c>
      <c r="L14" s="138">
        <v>162900.83472084458</v>
      </c>
      <c r="M14" s="138">
        <v>162900.83472084458</v>
      </c>
      <c r="N14" s="138">
        <v>158956.6847710023</v>
      </c>
      <c r="O14" s="138">
        <v>164761.28281039282</v>
      </c>
      <c r="P14" s="138">
        <v>158956.6847710023</v>
      </c>
    </row>
    <row r="15" spans="1:16">
      <c r="A15" s="858" t="s">
        <v>752</v>
      </c>
      <c r="B15" s="109" t="s">
        <v>395</v>
      </c>
      <c r="C15" s="110" t="s">
        <v>70</v>
      </c>
      <c r="D15" s="120">
        <f t="shared" si="2"/>
        <v>1711881.625574782</v>
      </c>
      <c r="E15" s="111">
        <f t="shared" ref="E15:P15" si="4">SUM(E16:E17)</f>
        <v>140837.79560882229</v>
      </c>
      <c r="F15" s="111">
        <f t="shared" si="4"/>
        <v>129182.26334964971</v>
      </c>
      <c r="G15" s="111">
        <f t="shared" si="4"/>
        <v>40077.870553929759</v>
      </c>
      <c r="H15" s="111">
        <f t="shared" si="4"/>
        <v>147307.14988471288</v>
      </c>
      <c r="I15" s="111">
        <f t="shared" si="4"/>
        <v>150400.28641648166</v>
      </c>
      <c r="J15" s="111">
        <f t="shared" si="4"/>
        <v>139539.80896709915</v>
      </c>
      <c r="K15" s="111">
        <f t="shared" si="4"/>
        <v>146845.57399999999</v>
      </c>
      <c r="L15" s="111">
        <f t="shared" si="4"/>
        <v>167359.16672084457</v>
      </c>
      <c r="M15" s="111">
        <f t="shared" si="4"/>
        <v>165645.41472084456</v>
      </c>
      <c r="N15" s="111">
        <f t="shared" si="4"/>
        <v>160968.32777100231</v>
      </c>
      <c r="O15" s="111">
        <f t="shared" si="4"/>
        <v>164761.28281039282</v>
      </c>
      <c r="P15" s="111">
        <f t="shared" si="4"/>
        <v>158956.6847710023</v>
      </c>
    </row>
    <row r="16" spans="1:16">
      <c r="A16" s="859"/>
      <c r="B16" s="109" t="s">
        <v>396</v>
      </c>
      <c r="C16" s="110" t="s">
        <v>70</v>
      </c>
      <c r="D16" s="120">
        <f t="shared" si="2"/>
        <v>19329.359</v>
      </c>
      <c r="E16" s="138">
        <f t="shared" ref="E16:H16" si="5">E13</f>
        <v>0</v>
      </c>
      <c r="F16" s="138">
        <f t="shared" si="5"/>
        <v>0</v>
      </c>
      <c r="G16" s="138">
        <f t="shared" si="5"/>
        <v>0</v>
      </c>
      <c r="H16" s="138">
        <f t="shared" si="5"/>
        <v>0</v>
      </c>
      <c r="I16" s="138">
        <f>I13</f>
        <v>2084.0899999999997</v>
      </c>
      <c r="J16" s="138">
        <f>J13</f>
        <v>2799.5829999999996</v>
      </c>
      <c r="K16" s="138">
        <f t="shared" ref="K16:P16" si="6">K13</f>
        <v>5231.1310000000003</v>
      </c>
      <c r="L16" s="138">
        <f t="shared" si="6"/>
        <v>4458.3320000000003</v>
      </c>
      <c r="M16" s="138">
        <f t="shared" si="6"/>
        <v>2744.58</v>
      </c>
      <c r="N16" s="138">
        <f t="shared" si="6"/>
        <v>2011.6429999999998</v>
      </c>
      <c r="O16" s="138">
        <f t="shared" si="6"/>
        <v>0</v>
      </c>
      <c r="P16" s="138">
        <f t="shared" si="6"/>
        <v>0</v>
      </c>
    </row>
    <row r="17" spans="1:16">
      <c r="A17" s="860"/>
      <c r="B17" s="109" t="s">
        <v>397</v>
      </c>
      <c r="C17" s="110" t="s">
        <v>70</v>
      </c>
      <c r="D17" s="120">
        <f t="shared" si="2"/>
        <v>1692552.2665747821</v>
      </c>
      <c r="E17" s="138">
        <f>E14</f>
        <v>140837.79560882229</v>
      </c>
      <c r="F17" s="138">
        <f t="shared" ref="F17:P17" si="7">F14</f>
        <v>129182.26334964971</v>
      </c>
      <c r="G17" s="138">
        <f t="shared" si="7"/>
        <v>40077.870553929759</v>
      </c>
      <c r="H17" s="138">
        <f t="shared" si="7"/>
        <v>147307.14988471288</v>
      </c>
      <c r="I17" s="138">
        <f t="shared" si="7"/>
        <v>148316.19641648166</v>
      </c>
      <c r="J17" s="138">
        <f t="shared" si="7"/>
        <v>136740.22596709913</v>
      </c>
      <c r="K17" s="138">
        <f t="shared" si="7"/>
        <v>141614.443</v>
      </c>
      <c r="L17" s="138">
        <f t="shared" si="7"/>
        <v>162900.83472084458</v>
      </c>
      <c r="M17" s="138">
        <f t="shared" si="7"/>
        <v>162900.83472084458</v>
      </c>
      <c r="N17" s="138">
        <f t="shared" si="7"/>
        <v>158956.6847710023</v>
      </c>
      <c r="O17" s="138">
        <f t="shared" si="7"/>
        <v>164761.28281039282</v>
      </c>
      <c r="P17" s="138">
        <f t="shared" si="7"/>
        <v>158956.6847710023</v>
      </c>
    </row>
    <row r="18" spans="1:16">
      <c r="A18" s="113"/>
      <c r="B18" s="114"/>
      <c r="C18" s="115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</row>
    <row r="19" spans="1:16">
      <c r="A19" s="109" t="s">
        <v>548</v>
      </c>
      <c r="B19" s="109" t="s">
        <v>395</v>
      </c>
      <c r="C19" s="110" t="s">
        <v>70</v>
      </c>
      <c r="D19" s="111">
        <f>SUM(E19:P19)</f>
        <v>0</v>
      </c>
      <c r="E19" s="111">
        <f t="shared" ref="E19:P19" si="8">SUM(E20:E21)</f>
        <v>0</v>
      </c>
      <c r="F19" s="111">
        <f t="shared" si="8"/>
        <v>0</v>
      </c>
      <c r="G19" s="111">
        <f t="shared" si="8"/>
        <v>0</v>
      </c>
      <c r="H19" s="111">
        <f t="shared" si="8"/>
        <v>0</v>
      </c>
      <c r="I19" s="111">
        <f t="shared" si="8"/>
        <v>0</v>
      </c>
      <c r="J19" s="111">
        <f t="shared" si="8"/>
        <v>0</v>
      </c>
      <c r="K19" s="111">
        <f t="shared" si="8"/>
        <v>0</v>
      </c>
      <c r="L19" s="111">
        <f t="shared" si="8"/>
        <v>0</v>
      </c>
      <c r="M19" s="111">
        <f t="shared" si="8"/>
        <v>0</v>
      </c>
      <c r="N19" s="111">
        <f t="shared" si="8"/>
        <v>0</v>
      </c>
      <c r="O19" s="111">
        <f t="shared" si="8"/>
        <v>0</v>
      </c>
      <c r="P19" s="111">
        <f t="shared" si="8"/>
        <v>0</v>
      </c>
    </row>
    <row r="20" spans="1:16">
      <c r="A20" s="117" t="s">
        <v>399</v>
      </c>
      <c r="B20" s="109" t="s">
        <v>396</v>
      </c>
      <c r="C20" s="110" t="s">
        <v>70</v>
      </c>
      <c r="D20" s="111">
        <f>SUM(E20:P20)</f>
        <v>0</v>
      </c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</row>
    <row r="21" spans="1:16">
      <c r="A21" s="112" t="s">
        <v>400</v>
      </c>
      <c r="B21" s="109" t="s">
        <v>397</v>
      </c>
      <c r="C21" s="110" t="s">
        <v>70</v>
      </c>
      <c r="D21" s="111">
        <f>SUM(E21:P21)</f>
        <v>0</v>
      </c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</row>
    <row r="22" spans="1:16">
      <c r="A22" s="109" t="s">
        <v>243</v>
      </c>
      <c r="B22" s="109" t="s">
        <v>677</v>
      </c>
      <c r="C22" s="667" t="s">
        <v>7</v>
      </c>
      <c r="D22" s="500">
        <f t="shared" ref="D22:P22" si="9">IF(D23=0,0,D19/D23)</f>
        <v>0</v>
      </c>
      <c r="E22" s="500">
        <f t="shared" si="9"/>
        <v>0</v>
      </c>
      <c r="F22" s="500">
        <f t="shared" si="9"/>
        <v>0</v>
      </c>
      <c r="G22" s="500">
        <f t="shared" si="9"/>
        <v>0</v>
      </c>
      <c r="H22" s="500">
        <f t="shared" si="9"/>
        <v>0</v>
      </c>
      <c r="I22" s="500">
        <f t="shared" si="9"/>
        <v>0</v>
      </c>
      <c r="J22" s="500">
        <f t="shared" si="9"/>
        <v>0</v>
      </c>
      <c r="K22" s="500">
        <f t="shared" si="9"/>
        <v>0</v>
      </c>
      <c r="L22" s="500">
        <f t="shared" si="9"/>
        <v>0</v>
      </c>
      <c r="M22" s="500">
        <f t="shared" si="9"/>
        <v>0</v>
      </c>
      <c r="N22" s="500">
        <f t="shared" si="9"/>
        <v>0</v>
      </c>
      <c r="O22" s="500">
        <f t="shared" si="9"/>
        <v>0</v>
      </c>
      <c r="P22" s="500">
        <f t="shared" si="9"/>
        <v>0</v>
      </c>
    </row>
    <row r="23" spans="1:16">
      <c r="A23" s="861" t="s">
        <v>549</v>
      </c>
      <c r="B23" s="118" t="s">
        <v>670</v>
      </c>
      <c r="C23" s="110" t="s">
        <v>70</v>
      </c>
      <c r="D23" s="111">
        <f>SUM(E23:P23)</f>
        <v>0</v>
      </c>
      <c r="E23" s="119">
        <f>SUMPRODUCT($B$25:$B$26,E25:E26)/860</f>
        <v>0</v>
      </c>
      <c r="F23" s="119">
        <f t="shared" ref="F23:P23" si="10">SUMPRODUCT($B$25:$B$26,F25:F26)/860</f>
        <v>0</v>
      </c>
      <c r="G23" s="119">
        <f t="shared" si="10"/>
        <v>0</v>
      </c>
      <c r="H23" s="119">
        <f t="shared" si="10"/>
        <v>0</v>
      </c>
      <c r="I23" s="119">
        <f t="shared" si="10"/>
        <v>0</v>
      </c>
      <c r="J23" s="119">
        <f t="shared" si="10"/>
        <v>0</v>
      </c>
      <c r="K23" s="119">
        <f t="shared" si="10"/>
        <v>0</v>
      </c>
      <c r="L23" s="119">
        <f t="shared" si="10"/>
        <v>0</v>
      </c>
      <c r="M23" s="119">
        <f t="shared" si="10"/>
        <v>0</v>
      </c>
      <c r="N23" s="119">
        <f t="shared" si="10"/>
        <v>0</v>
      </c>
      <c r="O23" s="119">
        <f t="shared" si="10"/>
        <v>0</v>
      </c>
      <c r="P23" s="119">
        <f t="shared" si="10"/>
        <v>0</v>
      </c>
    </row>
    <row r="24" spans="1:16" ht="14.25">
      <c r="A24" s="862"/>
      <c r="B24" s="118" t="s">
        <v>402</v>
      </c>
      <c r="C24" s="667" t="s">
        <v>401</v>
      </c>
      <c r="D24" s="111">
        <f>SUM(E24:P24)</f>
        <v>0</v>
      </c>
      <c r="E24" s="120">
        <f t="shared" ref="E24:P24" si="11">E23*0.86/7</f>
        <v>0</v>
      </c>
      <c r="F24" s="120">
        <f t="shared" si="11"/>
        <v>0</v>
      </c>
      <c r="G24" s="120">
        <f t="shared" si="11"/>
        <v>0</v>
      </c>
      <c r="H24" s="120">
        <f t="shared" si="11"/>
        <v>0</v>
      </c>
      <c r="I24" s="120">
        <f t="shared" si="11"/>
        <v>0</v>
      </c>
      <c r="J24" s="120">
        <f t="shared" si="11"/>
        <v>0</v>
      </c>
      <c r="K24" s="120">
        <f t="shared" si="11"/>
        <v>0</v>
      </c>
      <c r="L24" s="120">
        <f t="shared" si="11"/>
        <v>0</v>
      </c>
      <c r="M24" s="120">
        <f t="shared" si="11"/>
        <v>0</v>
      </c>
      <c r="N24" s="120">
        <f t="shared" si="11"/>
        <v>0</v>
      </c>
      <c r="O24" s="120">
        <f t="shared" si="11"/>
        <v>0</v>
      </c>
      <c r="P24" s="120">
        <f t="shared" si="11"/>
        <v>0</v>
      </c>
    </row>
    <row r="25" spans="1:16" ht="15.75">
      <c r="A25" s="117" t="s">
        <v>550</v>
      </c>
      <c r="B25" s="645">
        <v>8000</v>
      </c>
      <c r="C25" s="646" t="s">
        <v>373</v>
      </c>
      <c r="D25" s="111">
        <f>SUM(E25:P25)</f>
        <v>0</v>
      </c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</row>
    <row r="26" spans="1:16" ht="15.75">
      <c r="A26" s="112" t="s">
        <v>551</v>
      </c>
      <c r="B26" s="645">
        <v>8000</v>
      </c>
      <c r="C26" s="646" t="s">
        <v>373</v>
      </c>
      <c r="D26" s="111">
        <f>SUM(E26:P26)</f>
        <v>0</v>
      </c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</row>
    <row r="27" spans="1:16" s="121" customFormat="1" ht="11.25" customHeight="1"/>
    <row r="28" spans="1:16">
      <c r="A28" s="122" t="s">
        <v>669</v>
      </c>
      <c r="B28" s="118" t="s">
        <v>670</v>
      </c>
      <c r="C28" s="110" t="s">
        <v>70</v>
      </c>
      <c r="D28" s="120">
        <f>SUM(E28:P28)</f>
        <v>2633981.5085078715</v>
      </c>
      <c r="E28" s="119">
        <f>SUMPRODUCT($A$30:$A$34,E30:E34)/860</f>
        <v>244009.78542501168</v>
      </c>
      <c r="F28" s="119">
        <f t="shared" ref="F28:P28" si="12">SUMPRODUCT($A$30:$A$34,F30:F34)/860</f>
        <v>228793.78223372094</v>
      </c>
      <c r="G28" s="119">
        <f t="shared" si="12"/>
        <v>73050.870329302328</v>
      </c>
      <c r="H28" s="119">
        <f t="shared" si="12"/>
        <v>255585.82173723253</v>
      </c>
      <c r="I28" s="119">
        <f t="shared" si="12"/>
        <v>267105.83142586041</v>
      </c>
      <c r="J28" s="119">
        <f t="shared" si="12"/>
        <v>250173.69432269767</v>
      </c>
      <c r="K28" s="119">
        <f t="shared" si="12"/>
        <v>223598.72848227905</v>
      </c>
      <c r="L28" s="119">
        <f t="shared" si="12"/>
        <v>202940.47597148837</v>
      </c>
      <c r="M28" s="119">
        <f>SUMPRODUCT($A$30:$A$34,M30:M34)/860</f>
        <v>222216.58894739533</v>
      </c>
      <c r="N28" s="119">
        <f t="shared" si="12"/>
        <v>222291.81569158137</v>
      </c>
      <c r="O28" s="119">
        <f t="shared" si="12"/>
        <v>222229.84476134882</v>
      </c>
      <c r="P28" s="119">
        <f t="shared" si="12"/>
        <v>221984.26917995347</v>
      </c>
    </row>
    <row r="29" spans="1:16" ht="14.25">
      <c r="A29" s="123"/>
      <c r="B29" s="118" t="s">
        <v>402</v>
      </c>
      <c r="C29" s="667" t="s">
        <v>401</v>
      </c>
      <c r="D29" s="111">
        <f t="shared" ref="D29:D34" si="13">SUM(E29:P29)</f>
        <v>323603.44247382431</v>
      </c>
      <c r="E29" s="120">
        <f t="shared" ref="E29:P29" si="14">E28*0.86/7</f>
        <v>29978.345066501435</v>
      </c>
      <c r="F29" s="120">
        <f t="shared" si="14"/>
        <v>28108.950388714286</v>
      </c>
      <c r="G29" s="120">
        <f t="shared" si="14"/>
        <v>8974.8212118857155</v>
      </c>
      <c r="H29" s="120">
        <f t="shared" si="14"/>
        <v>31400.543813431424</v>
      </c>
      <c r="I29" s="120">
        <f t="shared" si="14"/>
        <v>32815.859289462845</v>
      </c>
      <c r="J29" s="120">
        <f t="shared" si="14"/>
        <v>30735.625302502856</v>
      </c>
      <c r="K29" s="120">
        <f t="shared" si="14"/>
        <v>27470.700927822854</v>
      </c>
      <c r="L29" s="120">
        <f t="shared" si="14"/>
        <v>24932.687047925716</v>
      </c>
      <c r="M29" s="120">
        <f t="shared" si="14"/>
        <v>27300.89521353714</v>
      </c>
      <c r="N29" s="120">
        <f t="shared" si="14"/>
        <v>27310.137356394283</v>
      </c>
      <c r="O29" s="120">
        <f t="shared" si="14"/>
        <v>27302.523784965713</v>
      </c>
      <c r="P29" s="120">
        <f t="shared" si="14"/>
        <v>27272.353070679997</v>
      </c>
    </row>
    <row r="30" spans="1:16" ht="15.75">
      <c r="A30" s="139">
        <v>8000</v>
      </c>
      <c r="B30" s="118" t="s">
        <v>9</v>
      </c>
      <c r="C30" s="667" t="s">
        <v>373</v>
      </c>
      <c r="D30" s="111">
        <f t="shared" si="13"/>
        <v>0</v>
      </c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</row>
    <row r="31" spans="1:16">
      <c r="A31" s="72">
        <v>9500</v>
      </c>
      <c r="B31" s="118" t="s">
        <v>10</v>
      </c>
      <c r="C31" s="667" t="s">
        <v>23</v>
      </c>
      <c r="D31" s="120">
        <f t="shared" si="13"/>
        <v>1229.2</v>
      </c>
      <c r="E31" s="138">
        <v>130.84</v>
      </c>
      <c r="F31" s="138">
        <v>129.54</v>
      </c>
      <c r="G31" s="138">
        <v>124.32</v>
      </c>
      <c r="H31" s="138">
        <v>76.92</v>
      </c>
      <c r="I31" s="138">
        <v>72.48</v>
      </c>
      <c r="J31" s="138">
        <v>165.02</v>
      </c>
      <c r="K31" s="138">
        <v>175.14</v>
      </c>
      <c r="L31" s="138">
        <v>146.66</v>
      </c>
      <c r="M31" s="138">
        <f>14.02+36</f>
        <v>50.019999999999996</v>
      </c>
      <c r="N31" s="138">
        <f>112.06-55.23</f>
        <v>56.830000000000005</v>
      </c>
      <c r="O31" s="138">
        <f>87.22-36</f>
        <v>51.22</v>
      </c>
      <c r="P31" s="138">
        <f>105.44-55.23</f>
        <v>50.21</v>
      </c>
    </row>
    <row r="32" spans="1:16">
      <c r="A32" s="72">
        <v>10500</v>
      </c>
      <c r="B32" s="118" t="s">
        <v>12</v>
      </c>
      <c r="C32" s="667" t="s">
        <v>23</v>
      </c>
      <c r="D32" s="111">
        <f t="shared" si="13"/>
        <v>0</v>
      </c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</row>
    <row r="33" spans="1:16">
      <c r="A33" s="72">
        <v>6000</v>
      </c>
      <c r="B33" s="118" t="s">
        <v>11</v>
      </c>
      <c r="C33" s="667" t="s">
        <v>23</v>
      </c>
      <c r="D33" s="111"/>
      <c r="E33" s="138">
        <v>34767.572577585008</v>
      </c>
      <c r="F33" s="138">
        <v>32588.670453500003</v>
      </c>
      <c r="G33" s="138">
        <v>10273.784747199999</v>
      </c>
      <c r="H33" s="138">
        <v>36512.177782336665</v>
      </c>
      <c r="I33" s="138">
        <v>38170.409171039995</v>
      </c>
      <c r="J33" s="138">
        <v>35596.947852919999</v>
      </c>
      <c r="K33" s="138">
        <v>31771.846082459997</v>
      </c>
      <c r="L33" s="138">
        <v>28855.923222580001</v>
      </c>
      <c r="M33" s="138">
        <v>31771.846082459997</v>
      </c>
      <c r="N33" s="138">
        <v>31771.846082459997</v>
      </c>
      <c r="O33" s="138">
        <v>31771.846082459997</v>
      </c>
      <c r="P33" s="138">
        <v>31738.246082459998</v>
      </c>
    </row>
    <row r="34" spans="1:16" ht="15.75">
      <c r="A34" s="73">
        <v>6000</v>
      </c>
      <c r="B34" s="118" t="s">
        <v>403</v>
      </c>
      <c r="C34" s="667" t="s">
        <v>404</v>
      </c>
      <c r="D34" s="111">
        <f t="shared" si="13"/>
        <v>0</v>
      </c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</row>
    <row r="35" spans="1:16" s="121" customFormat="1"/>
    <row r="36" spans="1:16">
      <c r="A36" s="124" t="s">
        <v>672</v>
      </c>
      <c r="B36" s="125" t="s">
        <v>671</v>
      </c>
      <c r="C36" s="110" t="s">
        <v>70</v>
      </c>
      <c r="D36" s="120">
        <f>SUM(E36:P36)</f>
        <v>579474.098</v>
      </c>
      <c r="E36" s="138">
        <v>52644.805999999997</v>
      </c>
      <c r="F36" s="138">
        <v>48287.998</v>
      </c>
      <c r="G36" s="138">
        <v>14981.004999999999</v>
      </c>
      <c r="H36" s="138">
        <v>55063.034</v>
      </c>
      <c r="I36" s="138">
        <v>55440.213000000003</v>
      </c>
      <c r="J36" s="138">
        <v>51113.144999999997</v>
      </c>
      <c r="K36" s="138">
        <v>46511.896999999997</v>
      </c>
      <c r="L36" s="138">
        <v>47232</v>
      </c>
      <c r="M36" s="138">
        <v>52536</v>
      </c>
      <c r="N36" s="138">
        <v>51264</v>
      </c>
      <c r="O36" s="138">
        <v>53136</v>
      </c>
      <c r="P36" s="138">
        <v>51264</v>
      </c>
    </row>
    <row r="37" spans="1:16">
      <c r="A37" s="124" t="s">
        <v>673</v>
      </c>
      <c r="B37" s="125"/>
      <c r="C37" s="110" t="s">
        <v>70</v>
      </c>
      <c r="D37" s="120">
        <f>SUM(E37:P37)</f>
        <v>579474.098</v>
      </c>
      <c r="E37" s="138">
        <f>E36</f>
        <v>52644.805999999997</v>
      </c>
      <c r="F37" s="138">
        <f>F36</f>
        <v>48287.998</v>
      </c>
      <c r="G37" s="138">
        <f>G36</f>
        <v>14981.004999999999</v>
      </c>
      <c r="H37" s="138">
        <f t="shared" ref="H37:P37" si="15">H36</f>
        <v>55063.034</v>
      </c>
      <c r="I37" s="138">
        <f t="shared" si="15"/>
        <v>55440.213000000003</v>
      </c>
      <c r="J37" s="138">
        <f t="shared" si="15"/>
        <v>51113.144999999997</v>
      </c>
      <c r="K37" s="138">
        <f t="shared" si="15"/>
        <v>46511.896999999997</v>
      </c>
      <c r="L37" s="138">
        <f t="shared" si="15"/>
        <v>47232</v>
      </c>
      <c r="M37" s="138">
        <f t="shared" si="15"/>
        <v>52536</v>
      </c>
      <c r="N37" s="138">
        <f t="shared" si="15"/>
        <v>51264</v>
      </c>
      <c r="O37" s="138">
        <f t="shared" si="15"/>
        <v>53136</v>
      </c>
      <c r="P37" s="138">
        <f t="shared" si="15"/>
        <v>51264</v>
      </c>
    </row>
    <row r="38" spans="1:16">
      <c r="A38" s="124" t="s">
        <v>674</v>
      </c>
      <c r="B38" s="125"/>
      <c r="C38" s="110" t="s">
        <v>70</v>
      </c>
      <c r="D38" s="120">
        <f>SUM(E38:P38)</f>
        <v>0</v>
      </c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</row>
    <row r="39" spans="1:16">
      <c r="A39" s="855" t="s">
        <v>16</v>
      </c>
      <c r="B39" s="126"/>
      <c r="C39" s="110" t="s">
        <v>70</v>
      </c>
      <c r="D39" s="120">
        <f>SUM(E39:P39)</f>
        <v>154568.95699999999</v>
      </c>
      <c r="E39" s="138">
        <v>13566.877999999997</v>
      </c>
      <c r="F39" s="138">
        <v>13589.297999999995</v>
      </c>
      <c r="G39" s="138">
        <v>4313.6489999999994</v>
      </c>
      <c r="H39" s="138">
        <v>13743.718000000001</v>
      </c>
      <c r="I39" s="138">
        <v>13796.337000000007</v>
      </c>
      <c r="J39" s="138">
        <v>14139.300999999999</v>
      </c>
      <c r="K39" s="138">
        <v>14149.775999999994</v>
      </c>
      <c r="L39" s="138">
        <v>12510</v>
      </c>
      <c r="M39" s="138">
        <v>13754</v>
      </c>
      <c r="N39" s="138">
        <v>13426</v>
      </c>
      <c r="O39" s="138">
        <v>14054</v>
      </c>
      <c r="P39" s="138">
        <v>13526</v>
      </c>
    </row>
    <row r="40" spans="1:16">
      <c r="A40" s="855"/>
      <c r="B40" s="126"/>
      <c r="C40" s="667" t="s">
        <v>7</v>
      </c>
      <c r="D40" s="127">
        <f t="shared" ref="D40:P40" si="16">IF(D36=0,0,D39/D36)</f>
        <v>0.26674006229696912</v>
      </c>
      <c r="E40" s="127">
        <f t="shared" si="16"/>
        <v>0.25770591689520134</v>
      </c>
      <c r="F40" s="127">
        <f t="shared" si="16"/>
        <v>0.28142185559235644</v>
      </c>
      <c r="G40" s="127">
        <f t="shared" si="16"/>
        <v>0.28794122957705437</v>
      </c>
      <c r="H40" s="127">
        <f t="shared" si="16"/>
        <v>0.24959972238362313</v>
      </c>
      <c r="I40" s="127">
        <f t="shared" si="16"/>
        <v>0.24885072140686051</v>
      </c>
      <c r="J40" s="127">
        <f t="shared" si="16"/>
        <v>0.27662748985608304</v>
      </c>
      <c r="K40" s="127">
        <f t="shared" si="16"/>
        <v>0.30421842394430815</v>
      </c>
      <c r="L40" s="127">
        <f t="shared" si="16"/>
        <v>0.26486280487804881</v>
      </c>
      <c r="M40" s="127">
        <f t="shared" si="16"/>
        <v>0.26180143139942136</v>
      </c>
      <c r="N40" s="127">
        <f t="shared" si="16"/>
        <v>0.26189918851435706</v>
      </c>
      <c r="O40" s="127">
        <f t="shared" si="16"/>
        <v>0.26449111713339357</v>
      </c>
      <c r="P40" s="127">
        <f t="shared" si="16"/>
        <v>0.26384987515605496</v>
      </c>
    </row>
    <row r="41" spans="1:16" ht="20.25">
      <c r="A41" s="854" t="s">
        <v>405</v>
      </c>
      <c r="B41" s="128" t="s">
        <v>395</v>
      </c>
      <c r="C41" s="110" t="s">
        <v>70</v>
      </c>
      <c r="D41" s="168">
        <f t="shared" ref="D41:D46" si="17">SUM(E41:P41)</f>
        <v>424905.14099999995</v>
      </c>
      <c r="E41" s="111">
        <f>SUM(E36,-E39)</f>
        <v>39077.928</v>
      </c>
      <c r="F41" s="111">
        <f t="shared" ref="F41:P41" si="18">SUM(F36,-F39)</f>
        <v>34698.700000000004</v>
      </c>
      <c r="G41" s="111">
        <f t="shared" si="18"/>
        <v>10667.356</v>
      </c>
      <c r="H41" s="111">
        <f t="shared" si="18"/>
        <v>41319.315999999999</v>
      </c>
      <c r="I41" s="111">
        <f t="shared" si="18"/>
        <v>41643.875999999997</v>
      </c>
      <c r="J41" s="111">
        <f t="shared" si="18"/>
        <v>36973.843999999997</v>
      </c>
      <c r="K41" s="111">
        <f t="shared" si="18"/>
        <v>32362.121000000003</v>
      </c>
      <c r="L41" s="111">
        <f t="shared" si="18"/>
        <v>34722</v>
      </c>
      <c r="M41" s="111">
        <f t="shared" si="18"/>
        <v>38782</v>
      </c>
      <c r="N41" s="111">
        <f t="shared" si="18"/>
        <v>37838</v>
      </c>
      <c r="O41" s="111">
        <f t="shared" si="18"/>
        <v>39082</v>
      </c>
      <c r="P41" s="111">
        <f t="shared" si="18"/>
        <v>37738</v>
      </c>
    </row>
    <row r="42" spans="1:16">
      <c r="A42" s="854"/>
      <c r="B42" s="125" t="s">
        <v>676</v>
      </c>
      <c r="C42" s="110" t="s">
        <v>70</v>
      </c>
      <c r="D42" s="120">
        <f t="shared" si="17"/>
        <v>19342.207999999999</v>
      </c>
      <c r="E42" s="138">
        <v>1663.9559999999999</v>
      </c>
      <c r="F42" s="138">
        <v>1506.33</v>
      </c>
      <c r="G42" s="138">
        <v>681.40800000000002</v>
      </c>
      <c r="H42" s="138">
        <v>1925.028</v>
      </c>
      <c r="I42" s="138">
        <v>1927.17</v>
      </c>
      <c r="J42" s="138">
        <v>1832.4179999999999</v>
      </c>
      <c r="K42" s="138">
        <v>1955.8979999999999</v>
      </c>
      <c r="L42" s="138">
        <v>1650</v>
      </c>
      <c r="M42" s="138">
        <v>1750</v>
      </c>
      <c r="N42" s="138">
        <v>1550</v>
      </c>
      <c r="O42" s="138">
        <v>1450</v>
      </c>
      <c r="P42" s="138">
        <v>1450</v>
      </c>
    </row>
    <row r="43" spans="1:16">
      <c r="A43" s="854"/>
      <c r="B43" s="125" t="s">
        <v>675</v>
      </c>
      <c r="C43" s="110" t="s">
        <v>70</v>
      </c>
      <c r="D43" s="168">
        <f t="shared" si="17"/>
        <v>405562.93300000002</v>
      </c>
      <c r="E43" s="120">
        <f>SUM(E41,-E42)</f>
        <v>37413.972000000002</v>
      </c>
      <c r="F43" s="120">
        <f t="shared" ref="F43:P43" si="19">SUM(F41,-F42)</f>
        <v>33192.370000000003</v>
      </c>
      <c r="G43" s="120">
        <f t="shared" si="19"/>
        <v>9985.9480000000003</v>
      </c>
      <c r="H43" s="120">
        <f t="shared" si="19"/>
        <v>39394.288</v>
      </c>
      <c r="I43" s="120">
        <f t="shared" si="19"/>
        <v>39716.705999999998</v>
      </c>
      <c r="J43" s="120">
        <f t="shared" si="19"/>
        <v>35141.425999999999</v>
      </c>
      <c r="K43" s="120">
        <f t="shared" si="19"/>
        <v>30406.223000000002</v>
      </c>
      <c r="L43" s="120">
        <f t="shared" si="19"/>
        <v>33072</v>
      </c>
      <c r="M43" s="120">
        <f t="shared" si="19"/>
        <v>37032</v>
      </c>
      <c r="N43" s="120">
        <f t="shared" si="19"/>
        <v>36288</v>
      </c>
      <c r="O43" s="120">
        <f t="shared" si="19"/>
        <v>37632</v>
      </c>
      <c r="P43" s="120">
        <f t="shared" si="19"/>
        <v>36288</v>
      </c>
    </row>
    <row r="44" spans="1:16">
      <c r="A44" s="854" t="s">
        <v>409</v>
      </c>
      <c r="B44" s="130" t="s">
        <v>406</v>
      </c>
      <c r="C44" s="110" t="s">
        <v>70</v>
      </c>
      <c r="D44" s="111">
        <f t="shared" si="17"/>
        <v>405562.93300000002</v>
      </c>
      <c r="E44" s="111">
        <f>SUM(E43,-E45,-E46)</f>
        <v>37413.972000000002</v>
      </c>
      <c r="F44" s="111">
        <f t="shared" ref="F44:P44" si="20">SUM(F43,-F45,-F46)</f>
        <v>33192.370000000003</v>
      </c>
      <c r="G44" s="111">
        <f t="shared" si="20"/>
        <v>9985.9480000000003</v>
      </c>
      <c r="H44" s="111">
        <f t="shared" si="20"/>
        <v>39394.288</v>
      </c>
      <c r="I44" s="111">
        <f t="shared" si="20"/>
        <v>39716.705999999998</v>
      </c>
      <c r="J44" s="111">
        <f t="shared" si="20"/>
        <v>35141.425999999999</v>
      </c>
      <c r="K44" s="111">
        <f t="shared" si="20"/>
        <v>30406.223000000002</v>
      </c>
      <c r="L44" s="111">
        <f t="shared" si="20"/>
        <v>33072</v>
      </c>
      <c r="M44" s="111">
        <f t="shared" si="20"/>
        <v>37032</v>
      </c>
      <c r="N44" s="111">
        <f t="shared" si="20"/>
        <v>36288</v>
      </c>
      <c r="O44" s="111">
        <f t="shared" si="20"/>
        <v>37632</v>
      </c>
      <c r="P44" s="111">
        <f t="shared" si="20"/>
        <v>36288</v>
      </c>
    </row>
    <row r="45" spans="1:16">
      <c r="A45" s="854"/>
      <c r="B45" s="130" t="s">
        <v>407</v>
      </c>
      <c r="C45" s="110" t="s">
        <v>70</v>
      </c>
      <c r="D45" s="111">
        <f t="shared" si="17"/>
        <v>0</v>
      </c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</row>
    <row r="46" spans="1:16">
      <c r="A46" s="854"/>
      <c r="B46" s="130" t="s">
        <v>408</v>
      </c>
      <c r="C46" s="110" t="s">
        <v>70</v>
      </c>
      <c r="D46" s="111">
        <f t="shared" si="17"/>
        <v>0</v>
      </c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</row>
    <row r="47" spans="1:16">
      <c r="A47" s="853" t="s">
        <v>746</v>
      </c>
      <c r="B47" s="207" t="s">
        <v>396</v>
      </c>
      <c r="C47" s="110" t="s">
        <v>164</v>
      </c>
      <c r="D47" s="118"/>
      <c r="E47" s="138"/>
      <c r="F47" s="138"/>
      <c r="G47" s="138"/>
      <c r="H47" s="138"/>
      <c r="I47" s="138">
        <v>45</v>
      </c>
      <c r="J47" s="138">
        <v>55</v>
      </c>
      <c r="K47" s="138">
        <v>62</v>
      </c>
      <c r="L47" s="138">
        <v>62</v>
      </c>
      <c r="M47" s="138">
        <v>55</v>
      </c>
      <c r="N47" s="138">
        <v>45</v>
      </c>
      <c r="O47" s="138"/>
      <c r="P47" s="138"/>
    </row>
    <row r="48" spans="1:16">
      <c r="A48" s="853"/>
      <c r="B48" s="636" t="s">
        <v>397</v>
      </c>
      <c r="C48" s="110" t="s">
        <v>164</v>
      </c>
      <c r="D48" s="109"/>
      <c r="E48" s="138">
        <v>125</v>
      </c>
      <c r="F48" s="138">
        <v>125</v>
      </c>
      <c r="G48" s="138">
        <v>125</v>
      </c>
      <c r="H48" s="138">
        <v>125</v>
      </c>
      <c r="I48" s="138">
        <v>125</v>
      </c>
      <c r="J48" s="138">
        <v>125</v>
      </c>
      <c r="K48" s="138">
        <v>125</v>
      </c>
      <c r="L48" s="138">
        <v>125</v>
      </c>
      <c r="M48" s="138">
        <v>125</v>
      </c>
      <c r="N48" s="138">
        <v>125</v>
      </c>
      <c r="O48" s="138">
        <v>125</v>
      </c>
      <c r="P48" s="138">
        <v>125</v>
      </c>
    </row>
    <row r="49" spans="1:16">
      <c r="A49" s="233"/>
      <c r="B49" s="637"/>
      <c r="C49" s="115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</row>
    <row r="50" spans="1:16">
      <c r="A50" s="233"/>
      <c r="B50" s="637"/>
      <c r="C50" s="115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</row>
    <row r="51" spans="1:16">
      <c r="B51" s="132" t="str">
        <f>'[1]Разходи-Произв.'!$A$79</f>
        <v>Гл. счетоводител:</v>
      </c>
      <c r="C51" s="102"/>
      <c r="G51" s="133" t="str">
        <f>'[1]Разходи-Произв.'!$E$79</f>
        <v>Изп. директор:</v>
      </c>
      <c r="I51" s="134"/>
      <c r="J51" s="134"/>
    </row>
    <row r="52" spans="1:16">
      <c r="A52" s="131"/>
      <c r="C52" s="666" t="str">
        <f>Разходи!$B$93</f>
        <v>/ П.Маринова/</v>
      </c>
      <c r="G52" s="134"/>
      <c r="H52" s="136" t="str">
        <f>Разходи!$F$93</f>
        <v>/ Янилин Павлов /</v>
      </c>
      <c r="I52" s="136"/>
      <c r="J52" s="136"/>
    </row>
    <row r="53" spans="1:16">
      <c r="A53" s="131"/>
      <c r="B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</row>
    <row r="54" spans="1:16" hidden="1">
      <c r="A54" s="131"/>
      <c r="B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</row>
    <row r="55" spans="1:16" hidden="1">
      <c r="A55" s="131"/>
      <c r="B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</row>
    <row r="56" spans="1:16" hidden="1">
      <c r="A56" s="131"/>
      <c r="B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</row>
    <row r="57" spans="1:16" hidden="1">
      <c r="A57" s="131"/>
      <c r="B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</row>
    <row r="58" spans="1:16" hidden="1">
      <c r="A58" s="131"/>
      <c r="B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</row>
    <row r="59" spans="1:16" hidden="1">
      <c r="A59" s="131"/>
      <c r="B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</row>
    <row r="60" spans="1:16" hidden="1">
      <c r="A60" s="131"/>
      <c r="B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</row>
    <row r="61" spans="1:16" hidden="1">
      <c r="A61" s="131"/>
      <c r="B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</row>
    <row r="62" spans="1:16" hidden="1">
      <c r="A62" s="131"/>
      <c r="B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</row>
    <row r="63" spans="1:16" hidden="1">
      <c r="A63" s="131"/>
      <c r="B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</row>
    <row r="64" spans="1:16" hidden="1">
      <c r="A64" s="131"/>
      <c r="B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</row>
    <row r="65" spans="1:16" hidden="1">
      <c r="A65" s="131"/>
      <c r="B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</row>
    <row r="66" spans="1:16" hidden="1">
      <c r="A66" s="131"/>
      <c r="B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</row>
    <row r="67" spans="1:16" hidden="1">
      <c r="A67" s="131"/>
      <c r="B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</row>
    <row r="68" spans="1:16" hidden="1">
      <c r="A68" s="131"/>
      <c r="B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</row>
    <row r="69" spans="1:16" hidden="1">
      <c r="A69" s="131"/>
      <c r="B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</row>
    <row r="70" spans="1:16" hidden="1">
      <c r="A70" s="131"/>
      <c r="B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</row>
    <row r="71" spans="1:16" hidden="1">
      <c r="A71" s="131"/>
      <c r="B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</row>
    <row r="72" spans="1:16" hidden="1">
      <c r="A72" s="131"/>
      <c r="B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</row>
    <row r="73" spans="1:16" hidden="1">
      <c r="A73" s="131"/>
      <c r="B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</row>
    <row r="74" spans="1:16" hidden="1">
      <c r="A74" s="131"/>
      <c r="B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</row>
    <row r="75" spans="1:16" hidden="1">
      <c r="A75" s="131"/>
      <c r="B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</row>
    <row r="76" spans="1:16" hidden="1">
      <c r="A76" s="131"/>
      <c r="B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</row>
    <row r="77" spans="1:16" hidden="1">
      <c r="A77" s="131"/>
      <c r="B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</row>
    <row r="78" spans="1:16" hidden="1">
      <c r="A78" s="131"/>
      <c r="B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</row>
    <row r="79" spans="1:16" hidden="1">
      <c r="A79" s="131"/>
      <c r="B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</row>
    <row r="80" spans="1:16" hidden="1">
      <c r="A80" s="131"/>
      <c r="B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</row>
    <row r="81" spans="1:16" hidden="1">
      <c r="A81" s="131"/>
      <c r="B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</row>
    <row r="82" spans="1:16" hidden="1">
      <c r="A82" s="131"/>
      <c r="B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</row>
    <row r="83" spans="1:16" hidden="1">
      <c r="A83" s="131"/>
      <c r="B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</row>
    <row r="84" spans="1:16" hidden="1">
      <c r="A84" s="131"/>
      <c r="B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</row>
    <row r="85" spans="1:16" hidden="1">
      <c r="A85" s="131"/>
      <c r="B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</row>
    <row r="86" spans="1:16" hidden="1">
      <c r="A86" s="131"/>
      <c r="B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</row>
    <row r="87" spans="1:16" hidden="1">
      <c r="A87" s="131"/>
      <c r="B87" s="131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</row>
    <row r="88" spans="1:16" hidden="1">
      <c r="A88" s="131"/>
      <c r="B88" s="131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</row>
    <row r="89" spans="1:16" hidden="1">
      <c r="A89" s="131"/>
      <c r="B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</row>
    <row r="90" spans="1:16" hidden="1">
      <c r="A90" s="131"/>
      <c r="B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</row>
    <row r="91" spans="1:16" hidden="1">
      <c r="A91" s="131"/>
      <c r="B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</row>
    <row r="92" spans="1:16" hidden="1">
      <c r="A92" s="131"/>
      <c r="B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</row>
    <row r="93" spans="1:16" hidden="1">
      <c r="A93" s="131"/>
      <c r="B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</row>
    <row r="94" spans="1:16" hidden="1">
      <c r="A94" s="131"/>
      <c r="B94" s="13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</row>
    <row r="95" spans="1:16" hidden="1">
      <c r="A95" s="131"/>
      <c r="B95" s="131"/>
      <c r="D95" s="131"/>
      <c r="E95" s="131"/>
      <c r="F95" s="131"/>
      <c r="G95" s="131"/>
      <c r="H95" s="131"/>
      <c r="I95" s="131"/>
      <c r="J95" s="131"/>
      <c r="K95" s="131"/>
      <c r="L95" s="131"/>
      <c r="M95" s="131"/>
      <c r="N95" s="131"/>
      <c r="O95" s="131"/>
      <c r="P95" s="131"/>
    </row>
    <row r="96" spans="1:16" hidden="1">
      <c r="A96" s="131"/>
      <c r="B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</row>
    <row r="97" spans="1:16" hidden="1">
      <c r="A97" s="131"/>
      <c r="B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</row>
    <row r="98" spans="1:16" hidden="1">
      <c r="A98" s="131"/>
      <c r="B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</row>
    <row r="99" spans="1:16" hidden="1">
      <c r="A99" s="131"/>
      <c r="B99" s="131"/>
      <c r="D99" s="131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</row>
    <row r="100" spans="1:16" hidden="1">
      <c r="A100" s="131"/>
      <c r="B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</row>
    <row r="101" spans="1:16" hidden="1">
      <c r="A101" s="131"/>
      <c r="B101" s="131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</row>
    <row r="102" spans="1:16" hidden="1">
      <c r="A102" s="131"/>
      <c r="B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</row>
    <row r="103" spans="1:16" hidden="1">
      <c r="A103" s="131"/>
      <c r="B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</row>
    <row r="104" spans="1:16" hidden="1">
      <c r="A104" s="131"/>
      <c r="B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</row>
    <row r="105" spans="1:16" hidden="1">
      <c r="A105" s="131"/>
      <c r="B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</row>
    <row r="106" spans="1:16" hidden="1">
      <c r="A106" s="131"/>
      <c r="B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</row>
    <row r="107" spans="1:16" hidden="1">
      <c r="A107" s="131"/>
      <c r="B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</row>
    <row r="108" spans="1:16" hidden="1">
      <c r="A108" s="131"/>
      <c r="B108" s="131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</row>
    <row r="109" spans="1:16" hidden="1">
      <c r="A109" s="131"/>
      <c r="B109" s="131"/>
      <c r="D109" s="131"/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</row>
    <row r="110" spans="1:16" hidden="1">
      <c r="A110" s="131"/>
      <c r="B110" s="131"/>
      <c r="D110" s="131"/>
      <c r="E110" s="131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</row>
    <row r="111" spans="1:16" hidden="1">
      <c r="A111" s="131"/>
      <c r="B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</row>
    <row r="112" spans="1:16" hidden="1">
      <c r="A112" s="131"/>
      <c r="B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</row>
    <row r="113" spans="1:16" hidden="1">
      <c r="A113" s="131"/>
      <c r="B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</row>
    <row r="114" spans="1:16" hidden="1">
      <c r="A114" s="131"/>
      <c r="B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</row>
    <row r="115" spans="1:16" hidden="1">
      <c r="A115" s="131"/>
      <c r="B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</row>
    <row r="116" spans="1:16" hidden="1">
      <c r="A116" s="131"/>
      <c r="B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</row>
    <row r="117" spans="1:16" hidden="1">
      <c r="A117" s="131"/>
      <c r="B117" s="131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</row>
    <row r="118" spans="1:16" hidden="1">
      <c r="A118" s="131"/>
      <c r="B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</row>
    <row r="119" spans="1:16" hidden="1">
      <c r="A119" s="131"/>
      <c r="B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</row>
    <row r="120" spans="1:16" hidden="1">
      <c r="A120" s="131"/>
      <c r="B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</row>
    <row r="121" spans="1:16" hidden="1">
      <c r="A121" s="131"/>
      <c r="B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</row>
    <row r="122" spans="1:16" hidden="1">
      <c r="A122" s="131"/>
      <c r="B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  <c r="O122" s="131"/>
      <c r="P122" s="131"/>
    </row>
    <row r="123" spans="1:16" hidden="1">
      <c r="A123" s="131"/>
      <c r="B123" s="131"/>
      <c r="D123" s="131"/>
      <c r="E123" s="131"/>
      <c r="F123" s="131"/>
      <c r="G123" s="131"/>
      <c r="H123" s="131"/>
      <c r="I123" s="131"/>
      <c r="J123" s="131"/>
      <c r="K123" s="131"/>
      <c r="L123" s="131"/>
      <c r="M123" s="131"/>
      <c r="N123" s="131"/>
      <c r="O123" s="131"/>
      <c r="P123" s="131"/>
    </row>
    <row r="124" spans="1:16" hidden="1">
      <c r="A124" s="131"/>
      <c r="B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1"/>
      <c r="N124" s="131"/>
      <c r="O124" s="131"/>
      <c r="P124" s="131"/>
    </row>
    <row r="125" spans="1:16" hidden="1">
      <c r="A125" s="131"/>
      <c r="B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</row>
    <row r="126" spans="1:16" hidden="1">
      <c r="A126" s="131"/>
      <c r="B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</row>
    <row r="127" spans="1:16" hidden="1">
      <c r="A127" s="131"/>
      <c r="B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</row>
    <row r="128" spans="1:16" hidden="1">
      <c r="A128" s="131"/>
      <c r="B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</row>
    <row r="129" spans="1:16" hidden="1">
      <c r="A129" s="131"/>
      <c r="B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</row>
    <row r="130" spans="1:16" hidden="1">
      <c r="A130" s="131"/>
      <c r="B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</row>
    <row r="131" spans="1:16" hidden="1">
      <c r="A131" s="131"/>
      <c r="B131" s="131"/>
      <c r="D131" s="131"/>
      <c r="E131" s="131"/>
      <c r="F131" s="131"/>
      <c r="G131" s="131"/>
      <c r="H131" s="131"/>
      <c r="I131" s="131"/>
      <c r="J131" s="131"/>
      <c r="K131" s="131"/>
      <c r="L131" s="131"/>
      <c r="M131" s="131"/>
      <c r="N131" s="131"/>
      <c r="O131" s="131"/>
      <c r="P131" s="131"/>
    </row>
    <row r="132" spans="1:16" hidden="1">
      <c r="A132" s="131"/>
      <c r="B132" s="131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1"/>
      <c r="O132" s="131"/>
      <c r="P132" s="131"/>
    </row>
    <row r="133" spans="1:16" hidden="1">
      <c r="A133" s="131"/>
      <c r="B133" s="131"/>
      <c r="D133" s="131"/>
      <c r="E133" s="131"/>
      <c r="F133" s="131"/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</row>
    <row r="134" spans="1:16" hidden="1">
      <c r="A134" s="131"/>
      <c r="B134" s="131"/>
      <c r="D134" s="131"/>
      <c r="E134" s="131"/>
      <c r="F134" s="131"/>
      <c r="G134" s="131"/>
      <c r="H134" s="131"/>
      <c r="I134" s="131"/>
      <c r="J134" s="131"/>
      <c r="K134" s="131"/>
      <c r="L134" s="131"/>
      <c r="M134" s="131"/>
      <c r="N134" s="131"/>
      <c r="O134" s="131"/>
      <c r="P134" s="131"/>
    </row>
    <row r="135" spans="1:16" hidden="1">
      <c r="A135" s="131"/>
      <c r="B135" s="131"/>
      <c r="D135" s="131"/>
      <c r="E135" s="131"/>
      <c r="F135" s="131"/>
      <c r="G135" s="131"/>
      <c r="H135" s="131"/>
      <c r="I135" s="131"/>
      <c r="J135" s="131"/>
      <c r="K135" s="131"/>
      <c r="L135" s="131"/>
      <c r="M135" s="131"/>
      <c r="N135" s="131"/>
      <c r="O135" s="131"/>
      <c r="P135" s="131"/>
    </row>
    <row r="136" spans="1:16" hidden="1">
      <c r="A136" s="131"/>
      <c r="B136" s="131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1"/>
      <c r="O136" s="131"/>
      <c r="P136" s="131"/>
    </row>
    <row r="137" spans="1:16" hidden="1">
      <c r="A137" s="131"/>
      <c r="B137" s="131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  <c r="N137" s="131"/>
      <c r="O137" s="131"/>
      <c r="P137" s="131"/>
    </row>
    <row r="138" spans="1:16" hidden="1">
      <c r="A138" s="131"/>
      <c r="B138" s="131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1"/>
      <c r="O138" s="131"/>
      <c r="P138" s="131"/>
    </row>
    <row r="139" spans="1:16" hidden="1">
      <c r="A139" s="131"/>
      <c r="B139" s="131"/>
      <c r="D139" s="131"/>
      <c r="E139" s="131"/>
      <c r="F139" s="131"/>
      <c r="G139" s="131"/>
      <c r="H139" s="131"/>
      <c r="I139" s="131"/>
      <c r="J139" s="131"/>
      <c r="K139" s="131"/>
      <c r="L139" s="131"/>
      <c r="M139" s="131"/>
      <c r="N139" s="131"/>
      <c r="O139" s="131"/>
      <c r="P139" s="131"/>
    </row>
    <row r="140" spans="1:16" hidden="1">
      <c r="A140" s="131"/>
      <c r="B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</row>
    <row r="141" spans="1:16" hidden="1">
      <c r="A141" s="131"/>
      <c r="B141" s="131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</row>
    <row r="142" spans="1:16" hidden="1">
      <c r="A142" s="131"/>
      <c r="B142" s="131"/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</row>
    <row r="143" spans="1:16" hidden="1">
      <c r="A143" s="131"/>
      <c r="B143" s="131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</row>
    <row r="144" spans="1:16" hidden="1">
      <c r="A144" s="131"/>
      <c r="B144" s="131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</row>
    <row r="145" spans="1:16" hidden="1">
      <c r="A145" s="131"/>
      <c r="B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</row>
    <row r="146" spans="1:16" hidden="1">
      <c r="A146" s="131"/>
      <c r="B146" s="131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</row>
    <row r="147" spans="1:16" hidden="1">
      <c r="A147" s="131"/>
      <c r="B147" s="131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</row>
    <row r="148" spans="1:16" hidden="1">
      <c r="A148" s="131"/>
      <c r="B148" s="131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</row>
    <row r="149" spans="1:16" hidden="1">
      <c r="A149" s="131"/>
      <c r="B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9:A11"/>
    <mergeCell ref="A1:C1"/>
    <mergeCell ref="A2:C2"/>
    <mergeCell ref="A4:B5"/>
    <mergeCell ref="C4:C5"/>
    <mergeCell ref="A6:A8"/>
    <mergeCell ref="A47:A48"/>
    <mergeCell ref="A12:A14"/>
    <mergeCell ref="A15:A17"/>
    <mergeCell ref="A23:A24"/>
    <mergeCell ref="A39:A40"/>
    <mergeCell ref="A41:A43"/>
    <mergeCell ref="A44:A46"/>
  </mergeCells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5"/>
  <sheetViews>
    <sheetView showGridLines="0" showZeros="0" tabSelected="1" workbookViewId="0">
      <pane ySplit="7" topLeftCell="A8" activePane="bottomLeft" state="frozen"/>
      <selection pane="bottomLeft" activeCell="G63" sqref="G63"/>
    </sheetView>
  </sheetViews>
  <sheetFormatPr defaultColWidth="0" defaultRowHeight="12.75" zeroHeight="1"/>
  <cols>
    <col min="1" max="1" width="4.5703125" style="131" customWidth="1"/>
    <col min="2" max="2" width="34.42578125" style="131" customWidth="1"/>
    <col min="3" max="3" width="7.5703125" style="105" bestFit="1" customWidth="1"/>
    <col min="4" max="4" width="9" style="105" customWidth="1"/>
    <col min="5" max="5" width="9.140625" style="105" customWidth="1"/>
    <col min="6" max="6" width="9.5703125" style="105" customWidth="1"/>
    <col min="7" max="8" width="9" style="105" customWidth="1"/>
    <col min="9" max="9" width="11.5703125" style="105" customWidth="1"/>
    <col min="10" max="10" width="9.42578125" style="131" customWidth="1"/>
    <col min="11" max="16384" width="0" style="131" hidden="1"/>
  </cols>
  <sheetData>
    <row r="1" spans="1:10">
      <c r="B1" s="707">
        <v>1</v>
      </c>
      <c r="C1" s="707"/>
      <c r="I1" s="132" t="s">
        <v>680</v>
      </c>
    </row>
    <row r="2" spans="1:10">
      <c r="B2" s="708" t="s">
        <v>387</v>
      </c>
      <c r="C2" s="708"/>
    </row>
    <row r="3" spans="1:10">
      <c r="A3" s="151"/>
      <c r="B3" s="708" t="str">
        <f>'ТИП-ПРОИЗ'!$B$3:$C$3</f>
        <v>"БРИКЕЛ" ЕАД</v>
      </c>
      <c r="C3" s="708"/>
      <c r="D3" s="151"/>
      <c r="E3" s="151"/>
      <c r="F3" s="151"/>
      <c r="G3" s="151"/>
      <c r="H3" s="151"/>
      <c r="I3" s="151"/>
    </row>
    <row r="4" spans="1:10" ht="12.75" customHeight="1" thickBot="1">
      <c r="A4" s="159"/>
      <c r="B4" s="159"/>
      <c r="C4" s="159"/>
      <c r="D4" s="159"/>
      <c r="E4" s="159"/>
      <c r="F4" s="159"/>
      <c r="G4" s="159"/>
      <c r="H4" s="159"/>
      <c r="I4" s="159"/>
    </row>
    <row r="5" spans="1:10" ht="13.5" thickTop="1">
      <c r="A5" s="712" t="s">
        <v>0</v>
      </c>
      <c r="B5" s="714" t="s">
        <v>1</v>
      </c>
      <c r="C5" s="714" t="s">
        <v>2</v>
      </c>
      <c r="D5" s="716">
        <f>'ТИП-ПРОИЗ'!E6</f>
        <v>2019.9998000000001</v>
      </c>
      <c r="E5" s="716"/>
      <c r="F5" s="716"/>
      <c r="G5" s="709">
        <f>'ТИП-ПРОИЗ'!F6</f>
        <v>2020</v>
      </c>
      <c r="H5" s="710"/>
      <c r="I5" s="711"/>
    </row>
    <row r="6" spans="1:10">
      <c r="A6" s="713"/>
      <c r="B6" s="715"/>
      <c r="C6" s="715"/>
      <c r="D6" s="160" t="s">
        <v>250</v>
      </c>
      <c r="E6" s="160" t="s">
        <v>85</v>
      </c>
      <c r="F6" s="161" t="s">
        <v>152</v>
      </c>
      <c r="G6" s="160" t="s">
        <v>250</v>
      </c>
      <c r="H6" s="160" t="s">
        <v>85</v>
      </c>
      <c r="I6" s="510" t="s">
        <v>152</v>
      </c>
    </row>
    <row r="7" spans="1:10">
      <c r="A7" s="162">
        <v>1</v>
      </c>
      <c r="B7" s="163">
        <v>2</v>
      </c>
      <c r="C7" s="163">
        <v>3</v>
      </c>
      <c r="D7" s="163">
        <v>4</v>
      </c>
      <c r="E7" s="163">
        <v>5</v>
      </c>
      <c r="F7" s="163" t="s">
        <v>80</v>
      </c>
      <c r="G7" s="163">
        <v>7</v>
      </c>
      <c r="H7" s="163">
        <v>8</v>
      </c>
      <c r="I7" s="164" t="s">
        <v>79</v>
      </c>
    </row>
    <row r="8" spans="1:10">
      <c r="A8" s="165" t="s">
        <v>133</v>
      </c>
      <c r="B8" s="166" t="s">
        <v>151</v>
      </c>
      <c r="C8" s="167" t="s">
        <v>3</v>
      </c>
      <c r="D8" s="129">
        <f>SUM(D9:D10)</f>
        <v>157298.41567893341</v>
      </c>
      <c r="E8" s="129">
        <f>SUM(E9:E10)</f>
        <v>279.98875050000004</v>
      </c>
      <c r="F8" s="168">
        <f>SUM(D8:E8)</f>
        <v>157578.4044294334</v>
      </c>
      <c r="G8" s="129">
        <f>SUM(G9:G10)</f>
        <v>151930.93626201383</v>
      </c>
      <c r="H8" s="129">
        <f>SUM(H9:H10)</f>
        <v>261.98875050000004</v>
      </c>
      <c r="I8" s="169">
        <f>SUM(G8:H8)</f>
        <v>152192.92501251382</v>
      </c>
    </row>
    <row r="9" spans="1:10">
      <c r="A9" s="170" t="s">
        <v>143</v>
      </c>
      <c r="B9" s="171" t="s">
        <v>39</v>
      </c>
      <c r="C9" s="172" t="s">
        <v>3</v>
      </c>
      <c r="D9" s="173">
        <f>РБА!D76*НВ!F$21</f>
        <v>5230.4116875</v>
      </c>
      <c r="E9" s="173">
        <f>РБА!E76*НВ!F$21</f>
        <v>4.6013505000000006</v>
      </c>
      <c r="F9" s="174">
        <f>SUM(D9,E9)</f>
        <v>5235.0130380000001</v>
      </c>
      <c r="G9" s="173">
        <f>РБА!G76*НВ!G$21</f>
        <v>5201.6951175000004</v>
      </c>
      <c r="H9" s="173">
        <f>РБА!H76*НВ!G$21</f>
        <v>4.6013505000000006</v>
      </c>
      <c r="I9" s="175">
        <f>SUM(G9,H9)</f>
        <v>5206.2964680000005</v>
      </c>
    </row>
    <row r="10" spans="1:10" ht="25.5">
      <c r="A10" s="165" t="s">
        <v>103</v>
      </c>
      <c r="B10" s="176" t="s">
        <v>173</v>
      </c>
      <c r="C10" s="177" t="s">
        <v>3</v>
      </c>
      <c r="D10" s="129">
        <f>SUM(D11,D61)</f>
        <v>152068.00399143342</v>
      </c>
      <c r="E10" s="129">
        <f>SUM(E11,E61)</f>
        <v>275.38740000000001</v>
      </c>
      <c r="F10" s="168">
        <f t="shared" ref="F10:F27" si="0">SUM(D10:E10)</f>
        <v>152343.39139143343</v>
      </c>
      <c r="G10" s="129">
        <f>SUM(G11,G61)</f>
        <v>146729.24114451383</v>
      </c>
      <c r="H10" s="129">
        <f>SUM(H11,H61)</f>
        <v>257.38740000000001</v>
      </c>
      <c r="I10" s="169">
        <f t="shared" ref="I10:I27" si="1">SUM(G10:H10)</f>
        <v>146986.62854451383</v>
      </c>
    </row>
    <row r="11" spans="1:10">
      <c r="A11" s="178" t="s">
        <v>144</v>
      </c>
      <c r="B11" s="179" t="s">
        <v>169</v>
      </c>
      <c r="C11" s="180" t="s">
        <v>3</v>
      </c>
      <c r="D11" s="129">
        <f>SUM(D13,D18,D23:D24,D27,-D59,-D60)</f>
        <v>26570</v>
      </c>
      <c r="E11" s="129">
        <f>SUM(E13,E18,E23:E24,E27,-E59,-E60)</f>
        <v>275.38740000000001</v>
      </c>
      <c r="F11" s="129">
        <f t="shared" si="0"/>
        <v>26845.3874</v>
      </c>
      <c r="G11" s="129">
        <f>SUM(G13,G18,G23:G24,G27,-G59,-G60)</f>
        <v>25230</v>
      </c>
      <c r="H11" s="129">
        <f>SUM(H13,H18,H23:H24,H27,-H59,-H60)</f>
        <v>257.38740000000001</v>
      </c>
      <c r="I11" s="181">
        <f t="shared" si="1"/>
        <v>25487.3874</v>
      </c>
      <c r="J11" s="366"/>
    </row>
    <row r="12" spans="1:10">
      <c r="A12" s="178" t="s">
        <v>145</v>
      </c>
      <c r="B12" s="182" t="s">
        <v>439</v>
      </c>
      <c r="C12" s="180" t="s">
        <v>3</v>
      </c>
      <c r="D12" s="129">
        <f>SUM(D11,-D13)</f>
        <v>19801</v>
      </c>
      <c r="E12" s="129">
        <f>SUM(E11,-E13)</f>
        <v>201.38740000000001</v>
      </c>
      <c r="F12" s="129">
        <f t="shared" si="0"/>
        <v>20002.3874</v>
      </c>
      <c r="G12" s="129">
        <f>SUM(G11,-G13)</f>
        <v>20443</v>
      </c>
      <c r="H12" s="129">
        <f>SUM(H11,-H13)</f>
        <v>204.38740000000001</v>
      </c>
      <c r="I12" s="181">
        <f t="shared" si="1"/>
        <v>20647.3874</v>
      </c>
    </row>
    <row r="13" spans="1:10">
      <c r="A13" s="183">
        <v>1</v>
      </c>
      <c r="B13" s="184" t="s">
        <v>4</v>
      </c>
      <c r="C13" s="185" t="s">
        <v>3</v>
      </c>
      <c r="D13" s="111">
        <f>SUM(D14:D15,D17)</f>
        <v>6769</v>
      </c>
      <c r="E13" s="111">
        <f>SUM(E14:E15,E17)</f>
        <v>74</v>
      </c>
      <c r="F13" s="111">
        <f t="shared" si="0"/>
        <v>6843</v>
      </c>
      <c r="G13" s="111">
        <f>SUM(G14:G15,G17)</f>
        <v>4787</v>
      </c>
      <c r="H13" s="111">
        <f>SUM(H14:H15,H17)</f>
        <v>53</v>
      </c>
      <c r="I13" s="186">
        <f t="shared" si="1"/>
        <v>4840</v>
      </c>
    </row>
    <row r="14" spans="1:10">
      <c r="A14" s="187" t="s">
        <v>256</v>
      </c>
      <c r="B14" s="119" t="s">
        <v>170</v>
      </c>
      <c r="C14" s="185" t="s">
        <v>3</v>
      </c>
      <c r="D14" s="681">
        <v>6723</v>
      </c>
      <c r="E14" s="68"/>
      <c r="F14" s="120">
        <f t="shared" si="0"/>
        <v>6723</v>
      </c>
      <c r="G14" s="78">
        <v>4755</v>
      </c>
      <c r="H14" s="68"/>
      <c r="I14" s="188">
        <f t="shared" si="1"/>
        <v>4755</v>
      </c>
    </row>
    <row r="15" spans="1:10">
      <c r="A15" s="187" t="s">
        <v>257</v>
      </c>
      <c r="B15" s="119" t="s">
        <v>436</v>
      </c>
      <c r="C15" s="185" t="s">
        <v>3</v>
      </c>
      <c r="D15" s="681">
        <v>46</v>
      </c>
      <c r="E15" s="9">
        <v>74</v>
      </c>
      <c r="F15" s="120">
        <f t="shared" si="0"/>
        <v>120</v>
      </c>
      <c r="G15" s="78">
        <v>32</v>
      </c>
      <c r="H15" s="78">
        <v>53</v>
      </c>
      <c r="I15" s="188">
        <f t="shared" si="1"/>
        <v>85</v>
      </c>
    </row>
    <row r="16" spans="1:10">
      <c r="A16" s="187"/>
      <c r="B16" s="119" t="s">
        <v>438</v>
      </c>
      <c r="C16" s="185" t="s">
        <v>3</v>
      </c>
      <c r="D16" s="78"/>
      <c r="E16" s="68"/>
      <c r="F16" s="120"/>
      <c r="G16" s="78"/>
      <c r="H16" s="68"/>
      <c r="I16" s="188"/>
    </row>
    <row r="17" spans="1:10">
      <c r="A17" s="187" t="s">
        <v>258</v>
      </c>
      <c r="B17" s="119" t="s">
        <v>127</v>
      </c>
      <c r="C17" s="185" t="s">
        <v>3</v>
      </c>
      <c r="D17" s="78"/>
      <c r="E17" s="68"/>
      <c r="F17" s="120">
        <f t="shared" si="0"/>
        <v>0</v>
      </c>
      <c r="G17" s="78"/>
      <c r="H17" s="68"/>
      <c r="I17" s="188">
        <f t="shared" si="1"/>
        <v>0</v>
      </c>
    </row>
    <row r="18" spans="1:10">
      <c r="A18" s="183">
        <v>2</v>
      </c>
      <c r="B18" s="184" t="s">
        <v>172</v>
      </c>
      <c r="C18" s="185" t="s">
        <v>3</v>
      </c>
      <c r="D18" s="111">
        <f>SUM(D19:D20,D22)</f>
        <v>2402</v>
      </c>
      <c r="E18" s="111">
        <f>SUM(E19:E20,E22)</f>
        <v>14</v>
      </c>
      <c r="F18" s="111">
        <f t="shared" si="0"/>
        <v>2416</v>
      </c>
      <c r="G18" s="111">
        <f>SUM(G19:G20,G22)</f>
        <v>2573</v>
      </c>
      <c r="H18" s="111">
        <f>SUM(H19:H20,H22)</f>
        <v>15</v>
      </c>
      <c r="I18" s="186">
        <f t="shared" si="1"/>
        <v>2588</v>
      </c>
    </row>
    <row r="19" spans="1:10">
      <c r="A19" s="189" t="s">
        <v>272</v>
      </c>
      <c r="B19" s="120" t="s">
        <v>171</v>
      </c>
      <c r="C19" s="185" t="s">
        <v>3</v>
      </c>
      <c r="D19" s="681">
        <f>2416-D20-E20</f>
        <v>2394</v>
      </c>
      <c r="E19" s="68"/>
      <c r="F19" s="120">
        <f t="shared" si="0"/>
        <v>2394</v>
      </c>
      <c r="G19" s="78">
        <f>2588-G20-H20</f>
        <v>2564</v>
      </c>
      <c r="H19" s="68"/>
      <c r="I19" s="188">
        <f t="shared" si="1"/>
        <v>2564</v>
      </c>
    </row>
    <row r="20" spans="1:10">
      <c r="A20" s="189" t="s">
        <v>273</v>
      </c>
      <c r="B20" s="119" t="s">
        <v>436</v>
      </c>
      <c r="C20" s="185" t="s">
        <v>3</v>
      </c>
      <c r="D20" s="681">
        <v>8</v>
      </c>
      <c r="E20" s="9">
        <v>14</v>
      </c>
      <c r="F20" s="120">
        <f t="shared" si="0"/>
        <v>22</v>
      </c>
      <c r="G20" s="78">
        <v>9</v>
      </c>
      <c r="H20" s="78">
        <v>15</v>
      </c>
      <c r="I20" s="188">
        <f t="shared" si="1"/>
        <v>24</v>
      </c>
    </row>
    <row r="21" spans="1:10">
      <c r="A21" s="189"/>
      <c r="B21" s="119" t="s">
        <v>437</v>
      </c>
      <c r="C21" s="185"/>
      <c r="D21" s="78"/>
      <c r="E21" s="68"/>
      <c r="F21" s="120"/>
      <c r="G21" s="78"/>
      <c r="H21" s="68"/>
      <c r="I21" s="188"/>
    </row>
    <row r="22" spans="1:10">
      <c r="A22" s="189" t="s">
        <v>276</v>
      </c>
      <c r="B22" s="119" t="s">
        <v>127</v>
      </c>
      <c r="C22" s="185" t="s">
        <v>3</v>
      </c>
      <c r="D22" s="78"/>
      <c r="E22" s="68"/>
      <c r="F22" s="120">
        <f t="shared" si="0"/>
        <v>0</v>
      </c>
      <c r="G22" s="78"/>
      <c r="H22" s="68"/>
      <c r="I22" s="188">
        <f t="shared" si="1"/>
        <v>0</v>
      </c>
    </row>
    <row r="23" spans="1:10">
      <c r="A23" s="183">
        <v>3</v>
      </c>
      <c r="B23" s="184" t="s">
        <v>119</v>
      </c>
      <c r="C23" s="185" t="s">
        <v>3</v>
      </c>
      <c r="D23" s="681">
        <v>11219</v>
      </c>
      <c r="E23" s="9">
        <v>123</v>
      </c>
      <c r="F23" s="111">
        <f t="shared" si="0"/>
        <v>11342</v>
      </c>
      <c r="G23" s="78">
        <v>11571</v>
      </c>
      <c r="H23" s="78">
        <v>127</v>
      </c>
      <c r="I23" s="186">
        <f t="shared" si="1"/>
        <v>11698</v>
      </c>
    </row>
    <row r="24" spans="1:10" ht="25.5" customHeight="1">
      <c r="A24" s="183">
        <v>4</v>
      </c>
      <c r="B24" s="190" t="s">
        <v>311</v>
      </c>
      <c r="C24" s="185" t="s">
        <v>3</v>
      </c>
      <c r="D24" s="119">
        <f>SUM(D25:D26)</f>
        <v>3224</v>
      </c>
      <c r="E24" s="191">
        <f>SUM(E25:E26)</f>
        <v>35</v>
      </c>
      <c r="F24" s="111">
        <f t="shared" si="0"/>
        <v>3259</v>
      </c>
      <c r="G24" s="119">
        <f>SUM(G25:G26)</f>
        <v>3318</v>
      </c>
      <c r="H24" s="191">
        <f>SUM(H25:H26)</f>
        <v>36</v>
      </c>
      <c r="I24" s="186">
        <f t="shared" si="1"/>
        <v>3354</v>
      </c>
    </row>
    <row r="25" spans="1:10">
      <c r="A25" s="187" t="s">
        <v>251</v>
      </c>
      <c r="B25" s="192" t="s">
        <v>284</v>
      </c>
      <c r="C25" s="185" t="s">
        <v>3</v>
      </c>
      <c r="D25" s="54">
        <v>2831</v>
      </c>
      <c r="E25" s="9">
        <v>31</v>
      </c>
      <c r="F25" s="111">
        <f t="shared" si="0"/>
        <v>2862</v>
      </c>
      <c r="G25" s="78">
        <v>2922</v>
      </c>
      <c r="H25" s="78">
        <v>32</v>
      </c>
      <c r="I25" s="186">
        <f t="shared" si="1"/>
        <v>2954</v>
      </c>
    </row>
    <row r="26" spans="1:10">
      <c r="A26" s="187" t="s">
        <v>252</v>
      </c>
      <c r="B26" s="192" t="s">
        <v>285</v>
      </c>
      <c r="C26" s="185" t="s">
        <v>3</v>
      </c>
      <c r="D26" s="54">
        <v>393</v>
      </c>
      <c r="E26" s="9">
        <v>4</v>
      </c>
      <c r="F26" s="111">
        <f t="shared" si="0"/>
        <v>397</v>
      </c>
      <c r="G26" s="78">
        <v>396</v>
      </c>
      <c r="H26" s="78">
        <v>4</v>
      </c>
      <c r="I26" s="186">
        <f t="shared" si="1"/>
        <v>400</v>
      </c>
    </row>
    <row r="27" spans="1:10" ht="25.5">
      <c r="A27" s="183">
        <v>5</v>
      </c>
      <c r="B27" s="184" t="s">
        <v>730</v>
      </c>
      <c r="C27" s="185" t="s">
        <v>3</v>
      </c>
      <c r="D27" s="120">
        <f>SUM(D28:D57)</f>
        <v>2956</v>
      </c>
      <c r="E27" s="193">
        <f>SUM(E28:E57)</f>
        <v>30</v>
      </c>
      <c r="F27" s="111">
        <f t="shared" si="0"/>
        <v>2986</v>
      </c>
      <c r="G27" s="120">
        <f>SUM(G28:G57)</f>
        <v>2981</v>
      </c>
      <c r="H27" s="193">
        <f>SUM(H28:H57)</f>
        <v>27</v>
      </c>
      <c r="I27" s="186">
        <f t="shared" si="1"/>
        <v>3008</v>
      </c>
      <c r="J27" s="366"/>
    </row>
    <row r="28" spans="1:10">
      <c r="A28" s="187" t="s">
        <v>263</v>
      </c>
      <c r="B28" s="192" t="s">
        <v>104</v>
      </c>
      <c r="C28" s="185" t="s">
        <v>3</v>
      </c>
      <c r="D28" s="54">
        <v>67</v>
      </c>
      <c r="E28" s="9">
        <v>1</v>
      </c>
      <c r="F28" s="120">
        <f t="shared" ref="F28:F78" si="2">SUM(D28:E28)</f>
        <v>68</v>
      </c>
      <c r="G28" s="78">
        <v>70</v>
      </c>
      <c r="H28" s="78">
        <v>1</v>
      </c>
      <c r="I28" s="188">
        <f t="shared" ref="I28:I51" si="3">SUM(G28:H28)</f>
        <v>71</v>
      </c>
    </row>
    <row r="29" spans="1:10">
      <c r="A29" s="187" t="s">
        <v>264</v>
      </c>
      <c r="B29" s="192" t="s">
        <v>105</v>
      </c>
      <c r="C29" s="185" t="s">
        <v>3</v>
      </c>
      <c r="D29" s="54">
        <v>15</v>
      </c>
      <c r="E29" s="9">
        <v>0</v>
      </c>
      <c r="F29" s="120">
        <f t="shared" si="2"/>
        <v>15</v>
      </c>
      <c r="G29" s="78">
        <v>15</v>
      </c>
      <c r="H29" s="78">
        <v>0</v>
      </c>
      <c r="I29" s="188">
        <f t="shared" si="3"/>
        <v>15</v>
      </c>
    </row>
    <row r="30" spans="1:10">
      <c r="A30" s="187" t="s">
        <v>265</v>
      </c>
      <c r="B30" s="192" t="s">
        <v>106</v>
      </c>
      <c r="C30" s="185" t="s">
        <v>3</v>
      </c>
      <c r="D30" s="54">
        <v>8</v>
      </c>
      <c r="E30" s="9">
        <v>0</v>
      </c>
      <c r="F30" s="120">
        <f t="shared" si="2"/>
        <v>8</v>
      </c>
      <c r="G30" s="78">
        <v>8</v>
      </c>
      <c r="H30" s="78">
        <v>0</v>
      </c>
      <c r="I30" s="188">
        <f t="shared" si="3"/>
        <v>8</v>
      </c>
    </row>
    <row r="31" spans="1:10">
      <c r="A31" s="187" t="s">
        <v>266</v>
      </c>
      <c r="B31" s="192" t="s">
        <v>107</v>
      </c>
      <c r="C31" s="185" t="s">
        <v>3</v>
      </c>
      <c r="D31" s="54">
        <v>398</v>
      </c>
      <c r="E31" s="9">
        <v>4</v>
      </c>
      <c r="F31" s="120">
        <f t="shared" si="2"/>
        <v>402</v>
      </c>
      <c r="G31" s="78">
        <v>402</v>
      </c>
      <c r="H31" s="78">
        <v>4</v>
      </c>
      <c r="I31" s="188">
        <f t="shared" si="3"/>
        <v>406</v>
      </c>
    </row>
    <row r="32" spans="1:10">
      <c r="A32" s="187" t="s">
        <v>267</v>
      </c>
      <c r="B32" s="192" t="s">
        <v>108</v>
      </c>
      <c r="C32" s="185" t="s">
        <v>3</v>
      </c>
      <c r="D32" s="54">
        <v>55</v>
      </c>
      <c r="E32" s="9">
        <v>1</v>
      </c>
      <c r="F32" s="120">
        <f t="shared" si="2"/>
        <v>56</v>
      </c>
      <c r="G32" s="78">
        <v>55</v>
      </c>
      <c r="H32" s="78">
        <v>1</v>
      </c>
      <c r="I32" s="188">
        <f t="shared" si="3"/>
        <v>56</v>
      </c>
    </row>
    <row r="33" spans="1:9">
      <c r="A33" s="187" t="s">
        <v>268</v>
      </c>
      <c r="B33" s="192" t="s">
        <v>109</v>
      </c>
      <c r="C33" s="185" t="s">
        <v>3</v>
      </c>
      <c r="D33" s="54">
        <v>213</v>
      </c>
      <c r="E33" s="9">
        <v>2</v>
      </c>
      <c r="F33" s="120">
        <f t="shared" si="2"/>
        <v>215</v>
      </c>
      <c r="G33" s="78">
        <v>216</v>
      </c>
      <c r="H33" s="78">
        <v>2</v>
      </c>
      <c r="I33" s="188">
        <f t="shared" si="3"/>
        <v>218</v>
      </c>
    </row>
    <row r="34" spans="1:9" ht="25.5">
      <c r="A34" s="187" t="s">
        <v>286</v>
      </c>
      <c r="B34" s="192" t="s">
        <v>110</v>
      </c>
      <c r="C34" s="185" t="s">
        <v>3</v>
      </c>
      <c r="D34" s="54">
        <v>16</v>
      </c>
      <c r="E34" s="9">
        <v>0</v>
      </c>
      <c r="F34" s="120">
        <f t="shared" si="2"/>
        <v>16</v>
      </c>
      <c r="G34" s="78">
        <v>17</v>
      </c>
      <c r="H34" s="78">
        <v>0</v>
      </c>
      <c r="I34" s="188">
        <f t="shared" si="3"/>
        <v>17</v>
      </c>
    </row>
    <row r="35" spans="1:9">
      <c r="A35" s="187" t="s">
        <v>287</v>
      </c>
      <c r="B35" s="192" t="s">
        <v>111</v>
      </c>
      <c r="C35" s="185" t="s">
        <v>3</v>
      </c>
      <c r="D35" s="54">
        <v>28</v>
      </c>
      <c r="E35" s="9">
        <v>0</v>
      </c>
      <c r="F35" s="120">
        <f t="shared" si="2"/>
        <v>28</v>
      </c>
      <c r="G35" s="78">
        <v>29</v>
      </c>
      <c r="H35" s="78">
        <v>0</v>
      </c>
      <c r="I35" s="188">
        <f t="shared" si="3"/>
        <v>29</v>
      </c>
    </row>
    <row r="36" spans="1:9">
      <c r="A36" s="187" t="s">
        <v>288</v>
      </c>
      <c r="B36" s="192" t="s">
        <v>112</v>
      </c>
      <c r="C36" s="185" t="s">
        <v>3</v>
      </c>
      <c r="D36" s="54">
        <v>7</v>
      </c>
      <c r="E36" s="9">
        <v>0</v>
      </c>
      <c r="F36" s="120">
        <f t="shared" si="2"/>
        <v>7</v>
      </c>
      <c r="G36" s="78">
        <v>7</v>
      </c>
      <c r="H36" s="78">
        <v>0</v>
      </c>
      <c r="I36" s="188">
        <f t="shared" si="3"/>
        <v>7</v>
      </c>
    </row>
    <row r="37" spans="1:9">
      <c r="A37" s="187" t="s">
        <v>304</v>
      </c>
      <c r="B37" s="192" t="s">
        <v>113</v>
      </c>
      <c r="C37" s="185" t="s">
        <v>3</v>
      </c>
      <c r="D37" s="54">
        <v>699</v>
      </c>
      <c r="E37" s="9">
        <v>8</v>
      </c>
      <c r="F37" s="120">
        <f t="shared" si="2"/>
        <v>707</v>
      </c>
      <c r="G37" s="78">
        <v>699</v>
      </c>
      <c r="H37" s="78">
        <v>8</v>
      </c>
      <c r="I37" s="188">
        <f t="shared" si="3"/>
        <v>707</v>
      </c>
    </row>
    <row r="38" spans="1:9">
      <c r="A38" s="187" t="s">
        <v>289</v>
      </c>
      <c r="B38" s="192" t="s">
        <v>114</v>
      </c>
      <c r="C38" s="185" t="s">
        <v>3</v>
      </c>
      <c r="D38" s="54">
        <v>4</v>
      </c>
      <c r="E38" s="9">
        <v>0</v>
      </c>
      <c r="F38" s="120">
        <f t="shared" si="2"/>
        <v>4</v>
      </c>
      <c r="G38" s="78">
        <v>10</v>
      </c>
      <c r="H38" s="78">
        <v>0</v>
      </c>
      <c r="I38" s="188">
        <f t="shared" si="3"/>
        <v>10</v>
      </c>
    </row>
    <row r="39" spans="1:9">
      <c r="A39" s="187" t="s">
        <v>290</v>
      </c>
      <c r="B39" s="192" t="s">
        <v>115</v>
      </c>
      <c r="C39" s="185" t="s">
        <v>3</v>
      </c>
      <c r="D39" s="54">
        <v>127</v>
      </c>
      <c r="E39" s="9">
        <v>1</v>
      </c>
      <c r="F39" s="120">
        <f t="shared" si="2"/>
        <v>128</v>
      </c>
      <c r="G39" s="78">
        <v>127</v>
      </c>
      <c r="H39" s="78">
        <v>1</v>
      </c>
      <c r="I39" s="188">
        <f t="shared" si="3"/>
        <v>128</v>
      </c>
    </row>
    <row r="40" spans="1:9">
      <c r="A40" s="187" t="s">
        <v>291</v>
      </c>
      <c r="B40" s="192" t="s">
        <v>116</v>
      </c>
      <c r="C40" s="185" t="s">
        <v>3</v>
      </c>
      <c r="D40" s="54">
        <v>21</v>
      </c>
      <c r="E40" s="9">
        <v>0</v>
      </c>
      <c r="F40" s="120">
        <f t="shared" si="2"/>
        <v>21</v>
      </c>
      <c r="G40" s="78">
        <v>21</v>
      </c>
      <c r="H40" s="78">
        <v>0</v>
      </c>
      <c r="I40" s="188">
        <f t="shared" si="3"/>
        <v>21</v>
      </c>
    </row>
    <row r="41" spans="1:9">
      <c r="A41" s="187" t="s">
        <v>292</v>
      </c>
      <c r="B41" s="192" t="s">
        <v>118</v>
      </c>
      <c r="C41" s="185" t="s">
        <v>3</v>
      </c>
      <c r="D41" s="54">
        <v>83</v>
      </c>
      <c r="E41" s="9">
        <v>1</v>
      </c>
      <c r="F41" s="120">
        <f t="shared" si="2"/>
        <v>84</v>
      </c>
      <c r="G41" s="78">
        <v>84</v>
      </c>
      <c r="H41" s="78">
        <v>1</v>
      </c>
      <c r="I41" s="188">
        <f t="shared" si="3"/>
        <v>85</v>
      </c>
    </row>
    <row r="42" spans="1:9" ht="25.5">
      <c r="A42" s="187" t="s">
        <v>293</v>
      </c>
      <c r="B42" s="192" t="s">
        <v>120</v>
      </c>
      <c r="C42" s="185" t="s">
        <v>3</v>
      </c>
      <c r="D42" s="54">
        <v>0</v>
      </c>
      <c r="E42" s="9">
        <v>0</v>
      </c>
      <c r="F42" s="119">
        <f t="shared" ref="F42:F53" si="4">SUM(D42:E42)</f>
        <v>0</v>
      </c>
      <c r="G42" s="78">
        <v>0</v>
      </c>
      <c r="H42" s="78">
        <v>0</v>
      </c>
      <c r="I42" s="511">
        <f t="shared" si="3"/>
        <v>0</v>
      </c>
    </row>
    <row r="43" spans="1:9">
      <c r="A43" s="187" t="s">
        <v>294</v>
      </c>
      <c r="B43" s="192" t="s">
        <v>121</v>
      </c>
      <c r="C43" s="185" t="s">
        <v>3</v>
      </c>
      <c r="D43" s="54">
        <v>9</v>
      </c>
      <c r="E43" s="9">
        <v>0</v>
      </c>
      <c r="F43" s="119">
        <f t="shared" si="4"/>
        <v>9</v>
      </c>
      <c r="G43" s="78">
        <v>9</v>
      </c>
      <c r="H43" s="78">
        <v>0</v>
      </c>
      <c r="I43" s="511">
        <f t="shared" si="3"/>
        <v>9</v>
      </c>
    </row>
    <row r="44" spans="1:9">
      <c r="A44" s="187" t="s">
        <v>295</v>
      </c>
      <c r="B44" s="192" t="s">
        <v>122</v>
      </c>
      <c r="C44" s="185" t="s">
        <v>3</v>
      </c>
      <c r="D44" s="54">
        <v>428</v>
      </c>
      <c r="E44" s="9">
        <v>5</v>
      </c>
      <c r="F44" s="119">
        <f t="shared" si="4"/>
        <v>433</v>
      </c>
      <c r="G44" s="78">
        <v>431</v>
      </c>
      <c r="H44" s="78">
        <v>5</v>
      </c>
      <c r="I44" s="511">
        <f t="shared" si="3"/>
        <v>436</v>
      </c>
    </row>
    <row r="45" spans="1:9">
      <c r="A45" s="187" t="s">
        <v>296</v>
      </c>
      <c r="B45" s="192" t="s">
        <v>123</v>
      </c>
      <c r="C45" s="185" t="s">
        <v>3</v>
      </c>
      <c r="D45" s="54">
        <v>2</v>
      </c>
      <c r="E45" s="9">
        <v>0</v>
      </c>
      <c r="F45" s="119">
        <f t="shared" si="4"/>
        <v>2</v>
      </c>
      <c r="G45" s="78">
        <v>2</v>
      </c>
      <c r="H45" s="78">
        <v>0</v>
      </c>
      <c r="I45" s="511">
        <f t="shared" si="3"/>
        <v>2</v>
      </c>
    </row>
    <row r="46" spans="1:9">
      <c r="A46" s="187" t="s">
        <v>297</v>
      </c>
      <c r="B46" s="194" t="s">
        <v>124</v>
      </c>
      <c r="C46" s="185" t="s">
        <v>3</v>
      </c>
      <c r="D46" s="54">
        <v>8</v>
      </c>
      <c r="E46" s="9">
        <v>0</v>
      </c>
      <c r="F46" s="119">
        <f t="shared" si="4"/>
        <v>8</v>
      </c>
      <c r="G46" s="78">
        <v>8</v>
      </c>
      <c r="H46" s="78">
        <v>0</v>
      </c>
      <c r="I46" s="511">
        <f t="shared" si="3"/>
        <v>8</v>
      </c>
    </row>
    <row r="47" spans="1:9">
      <c r="A47" s="187" t="s">
        <v>298</v>
      </c>
      <c r="B47" s="194" t="s">
        <v>125</v>
      </c>
      <c r="C47" s="185" t="s">
        <v>3</v>
      </c>
      <c r="D47" s="54">
        <v>39</v>
      </c>
      <c r="E47" s="9">
        <v>0</v>
      </c>
      <c r="F47" s="119">
        <f t="shared" si="4"/>
        <v>39</v>
      </c>
      <c r="G47" s="78">
        <v>39</v>
      </c>
      <c r="H47" s="78">
        <v>0</v>
      </c>
      <c r="I47" s="511">
        <f t="shared" si="3"/>
        <v>39</v>
      </c>
    </row>
    <row r="48" spans="1:9">
      <c r="A48" s="187" t="s">
        <v>299</v>
      </c>
      <c r="B48" s="194" t="s">
        <v>126</v>
      </c>
      <c r="C48" s="185" t="s">
        <v>3</v>
      </c>
      <c r="D48" s="54">
        <v>38</v>
      </c>
      <c r="E48" s="9">
        <v>0</v>
      </c>
      <c r="F48" s="119">
        <f t="shared" si="4"/>
        <v>38</v>
      </c>
      <c r="G48" s="78">
        <v>38</v>
      </c>
      <c r="H48" s="78">
        <v>0</v>
      </c>
      <c r="I48" s="511">
        <f t="shared" si="3"/>
        <v>38</v>
      </c>
    </row>
    <row r="49" spans="1:10">
      <c r="A49" s="187" t="s">
        <v>300</v>
      </c>
      <c r="B49" s="195" t="s">
        <v>315</v>
      </c>
      <c r="C49" s="185" t="s">
        <v>3</v>
      </c>
      <c r="D49" s="54">
        <v>44</v>
      </c>
      <c r="E49" s="9">
        <v>0</v>
      </c>
      <c r="F49" s="119">
        <f t="shared" si="4"/>
        <v>44</v>
      </c>
      <c r="G49" s="78">
        <v>47</v>
      </c>
      <c r="H49" s="78">
        <v>0</v>
      </c>
      <c r="I49" s="511">
        <f t="shared" si="3"/>
        <v>47</v>
      </c>
    </row>
    <row r="50" spans="1:10">
      <c r="A50" s="187" t="s">
        <v>301</v>
      </c>
      <c r="B50" s="196" t="s">
        <v>117</v>
      </c>
      <c r="C50" s="185" t="s">
        <v>3</v>
      </c>
      <c r="D50" s="54">
        <v>0</v>
      </c>
      <c r="E50" s="9">
        <v>0</v>
      </c>
      <c r="F50" s="120">
        <f t="shared" si="4"/>
        <v>0</v>
      </c>
      <c r="G50" s="78">
        <f t="shared" ref="G50" si="5">D50*1.02</f>
        <v>0</v>
      </c>
      <c r="H50" s="78">
        <f t="shared" ref="H50" si="6">E50*1.02</f>
        <v>0</v>
      </c>
      <c r="I50" s="188">
        <f t="shared" si="3"/>
        <v>0</v>
      </c>
    </row>
    <row r="51" spans="1:10">
      <c r="A51" s="187" t="s">
        <v>302</v>
      </c>
      <c r="B51" s="197" t="s">
        <v>762</v>
      </c>
      <c r="C51" s="185" t="s">
        <v>3</v>
      </c>
      <c r="D51" s="681">
        <v>16</v>
      </c>
      <c r="E51" s="9">
        <v>0</v>
      </c>
      <c r="F51" s="119">
        <f t="shared" si="4"/>
        <v>16</v>
      </c>
      <c r="G51" s="78">
        <v>16</v>
      </c>
      <c r="H51" s="78">
        <v>0</v>
      </c>
      <c r="I51" s="511">
        <f t="shared" si="3"/>
        <v>16</v>
      </c>
    </row>
    <row r="52" spans="1:10">
      <c r="A52" s="187" t="s">
        <v>303</v>
      </c>
      <c r="B52" s="197" t="s">
        <v>763</v>
      </c>
      <c r="C52" s="185"/>
      <c r="D52" s="54">
        <v>0</v>
      </c>
      <c r="E52" s="9">
        <v>0</v>
      </c>
      <c r="F52" s="119">
        <f>SUM(D52:E52)</f>
        <v>0</v>
      </c>
      <c r="G52" s="78">
        <v>0</v>
      </c>
      <c r="H52" s="78">
        <v>0</v>
      </c>
      <c r="I52" s="511">
        <f>SUM(G52:H52)</f>
        <v>0</v>
      </c>
    </row>
    <row r="53" spans="1:10">
      <c r="A53" s="187" t="s">
        <v>305</v>
      </c>
      <c r="B53" s="197" t="s">
        <v>766</v>
      </c>
      <c r="C53" s="185"/>
      <c r="D53" s="54">
        <v>276</v>
      </c>
      <c r="E53" s="9">
        <v>3</v>
      </c>
      <c r="F53" s="119">
        <f t="shared" si="4"/>
        <v>279</v>
      </c>
      <c r="G53" s="78">
        <v>276</v>
      </c>
      <c r="H53" s="78">
        <v>0</v>
      </c>
      <c r="I53" s="511">
        <f>SUM(G53:H53)</f>
        <v>276</v>
      </c>
    </row>
    <row r="54" spans="1:10">
      <c r="A54" s="187" t="s">
        <v>306</v>
      </c>
      <c r="B54" s="197" t="s">
        <v>770</v>
      </c>
      <c r="C54" s="185"/>
      <c r="D54" s="54">
        <v>0</v>
      </c>
      <c r="E54" s="9">
        <v>0</v>
      </c>
      <c r="F54" s="119">
        <f>SUM(D54:E54)</f>
        <v>0</v>
      </c>
      <c r="G54" s="78">
        <v>0</v>
      </c>
      <c r="H54" s="78">
        <v>0</v>
      </c>
      <c r="I54" s="511">
        <f>SUM(G54:H54)</f>
        <v>0</v>
      </c>
    </row>
    <row r="55" spans="1:10">
      <c r="A55" s="187" t="s">
        <v>307</v>
      </c>
      <c r="B55" s="688" t="s">
        <v>773</v>
      </c>
      <c r="C55" s="185"/>
      <c r="D55" s="54">
        <v>355</v>
      </c>
      <c r="E55" s="9">
        <v>4</v>
      </c>
      <c r="F55" s="119"/>
      <c r="G55" s="78">
        <v>355</v>
      </c>
      <c r="H55" s="78">
        <v>4</v>
      </c>
      <c r="I55" s="511">
        <f>SUM(G55:H55)</f>
        <v>359</v>
      </c>
    </row>
    <row r="56" spans="1:10">
      <c r="A56" s="187" t="s">
        <v>308</v>
      </c>
      <c r="B56" s="197"/>
      <c r="C56" s="185"/>
      <c r="D56" s="54"/>
      <c r="E56" s="9"/>
      <c r="F56" s="119"/>
      <c r="G56" s="54"/>
      <c r="H56" s="9"/>
      <c r="I56" s="511"/>
    </row>
    <row r="57" spans="1:10">
      <c r="A57" s="187" t="s">
        <v>309</v>
      </c>
      <c r="B57" s="197"/>
      <c r="C57" s="185"/>
      <c r="D57" s="54"/>
      <c r="E57" s="9"/>
      <c r="F57" s="119"/>
      <c r="G57" s="54"/>
      <c r="H57" s="9"/>
      <c r="I57" s="511"/>
    </row>
    <row r="58" spans="1:10" ht="25.5">
      <c r="A58" s="183">
        <v>8</v>
      </c>
      <c r="B58" s="198" t="s">
        <v>95</v>
      </c>
      <c r="C58" s="185" t="s">
        <v>96</v>
      </c>
      <c r="D58" s="54"/>
      <c r="E58" s="9"/>
      <c r="F58" s="119">
        <f t="shared" si="2"/>
        <v>0</v>
      </c>
      <c r="G58" s="54"/>
      <c r="H58" s="9"/>
      <c r="I58" s="511">
        <f t="shared" ref="I58:I68" si="7">SUM(G58:H58)</f>
        <v>0</v>
      </c>
    </row>
    <row r="59" spans="1:10">
      <c r="A59" s="183">
        <v>9</v>
      </c>
      <c r="B59" s="199" t="s">
        <v>88</v>
      </c>
      <c r="C59" s="185" t="s">
        <v>3</v>
      </c>
      <c r="D59" s="54"/>
      <c r="E59" s="9">
        <v>0.61260000000000003</v>
      </c>
      <c r="F59" s="119">
        <f t="shared" si="2"/>
        <v>0.61260000000000003</v>
      </c>
      <c r="G59" s="54"/>
      <c r="H59" s="9">
        <v>0.61260000000000003</v>
      </c>
      <c r="I59" s="511">
        <f t="shared" si="7"/>
        <v>0.61260000000000003</v>
      </c>
    </row>
    <row r="60" spans="1:10">
      <c r="A60" s="183">
        <v>10</v>
      </c>
      <c r="B60" s="199" t="s">
        <v>99</v>
      </c>
      <c r="C60" s="185" t="s">
        <v>3</v>
      </c>
      <c r="D60" s="54"/>
      <c r="E60" s="9"/>
      <c r="F60" s="119">
        <f t="shared" si="2"/>
        <v>0</v>
      </c>
      <c r="G60" s="54"/>
      <c r="H60" s="9"/>
      <c r="I60" s="511">
        <f t="shared" si="7"/>
        <v>0</v>
      </c>
    </row>
    <row r="61" spans="1:10" s="201" customFormat="1">
      <c r="A61" s="165" t="s">
        <v>145</v>
      </c>
      <c r="B61" s="200" t="s">
        <v>8</v>
      </c>
      <c r="C61" s="180" t="s">
        <v>3</v>
      </c>
      <c r="D61" s="168">
        <f>SUM(D62,D78:D79,D82,D85)</f>
        <v>125498.0039914334</v>
      </c>
      <c r="E61" s="168">
        <f>SUM(E62,E78:E85)</f>
        <v>0</v>
      </c>
      <c r="F61" s="168">
        <f t="shared" si="2"/>
        <v>125498.0039914334</v>
      </c>
      <c r="G61" s="168">
        <f>SUM(G62,G78:G79,G82,G85)</f>
        <v>121499.24114451383</v>
      </c>
      <c r="H61" s="168">
        <f>SUM(H62,H78:H85)</f>
        <v>0</v>
      </c>
      <c r="I61" s="169">
        <f t="shared" si="7"/>
        <v>121499.24114451383</v>
      </c>
      <c r="J61"/>
    </row>
    <row r="62" spans="1:10">
      <c r="A62" s="202">
        <v>1</v>
      </c>
      <c r="B62" s="203" t="s">
        <v>435</v>
      </c>
      <c r="C62" s="193" t="s">
        <v>3</v>
      </c>
      <c r="D62" s="119">
        <f>SUM(D63,D69,D75:D77)</f>
        <v>95330.312000000005</v>
      </c>
      <c r="E62" s="119">
        <f>SUM(E63,E69,E75:E77)</f>
        <v>0</v>
      </c>
      <c r="F62" s="119">
        <f>SUM(D62:E62)</f>
        <v>95330.312000000005</v>
      </c>
      <c r="G62" s="119">
        <f>SUM(G63,G69,G75:G77)</f>
        <v>91940.937726294855</v>
      </c>
      <c r="H62" s="119">
        <f>SUM(H63,H69,H75:H77)</f>
        <v>0</v>
      </c>
      <c r="I62" s="511">
        <f t="shared" si="7"/>
        <v>91940.937726294855</v>
      </c>
      <c r="J62"/>
    </row>
    <row r="63" spans="1:10" s="206" customFormat="1" ht="25.5">
      <c r="A63" s="204" t="s">
        <v>83</v>
      </c>
      <c r="B63" s="205" t="s">
        <v>527</v>
      </c>
      <c r="C63" s="193" t="s">
        <v>3</v>
      </c>
      <c r="D63" s="120">
        <f>SUM(D64:D68)</f>
        <v>89968.312000000005</v>
      </c>
      <c r="E63" s="120"/>
      <c r="F63" s="120">
        <f t="shared" si="2"/>
        <v>89968.312000000005</v>
      </c>
      <c r="G63" s="120">
        <f>SUM(G64:G68)</f>
        <v>86812.79800000001</v>
      </c>
      <c r="H63" s="120"/>
      <c r="I63" s="188">
        <f t="shared" si="7"/>
        <v>86812.79800000001</v>
      </c>
      <c r="J63"/>
    </row>
    <row r="64" spans="1:10">
      <c r="A64" s="204" t="s">
        <v>320</v>
      </c>
      <c r="B64" s="207" t="s">
        <v>9</v>
      </c>
      <c r="C64" s="193" t="s">
        <v>3</v>
      </c>
      <c r="D64" s="120">
        <f>ROUND('ТИП-ПРОИЗ'!E33*'ТИП-ПРОИЗ'!E86/1000,3)</f>
        <v>0</v>
      </c>
      <c r="E64" s="120"/>
      <c r="F64" s="120">
        <f t="shared" si="2"/>
        <v>0</v>
      </c>
      <c r="G64" s="120">
        <f>ROUND('ТИП-ПРОИЗ'!F33*'ТИП-ПРОИЗ'!F86/1000,3)</f>
        <v>0</v>
      </c>
      <c r="H64" s="120"/>
      <c r="I64" s="188">
        <f t="shared" si="7"/>
        <v>0</v>
      </c>
      <c r="J64"/>
    </row>
    <row r="65" spans="1:10">
      <c r="A65" s="204" t="s">
        <v>321</v>
      </c>
      <c r="B65" s="207" t="s">
        <v>10</v>
      </c>
      <c r="C65" s="193" t="s">
        <v>3</v>
      </c>
      <c r="D65" s="120">
        <f>ROUND('ТИП-ПРОИЗ'!E34*'ТИП-ПРОИЗ'!E87/1000,3)</f>
        <v>831.05</v>
      </c>
      <c r="E65" s="120"/>
      <c r="F65" s="120">
        <f t="shared" si="2"/>
        <v>831.05</v>
      </c>
      <c r="G65" s="120">
        <f>ROUND('ТИП-ПРОИЗ'!F34*'ТИП-ПРОИЗ'!F87/1000,3)</f>
        <v>831.05</v>
      </c>
      <c r="H65" s="120"/>
      <c r="I65" s="188">
        <f t="shared" si="7"/>
        <v>831.05</v>
      </c>
      <c r="J65"/>
    </row>
    <row r="66" spans="1:10">
      <c r="A66" s="204" t="s">
        <v>322</v>
      </c>
      <c r="B66" s="207" t="s">
        <v>12</v>
      </c>
      <c r="C66" s="193" t="s">
        <v>3</v>
      </c>
      <c r="D66" s="120">
        <f>ROUND('ТИП-ПРОИЗ'!E35*'ТИП-ПРОИЗ'!E88/1000,3)</f>
        <v>0</v>
      </c>
      <c r="E66" s="120"/>
      <c r="F66" s="120">
        <f t="shared" si="2"/>
        <v>0</v>
      </c>
      <c r="G66" s="120">
        <f>ROUND('ТИП-ПРОИЗ'!F35*'ТИП-ПРОИЗ'!F88/1000,3)</f>
        <v>0</v>
      </c>
      <c r="H66" s="120"/>
      <c r="I66" s="188">
        <f t="shared" si="7"/>
        <v>0</v>
      </c>
      <c r="J66"/>
    </row>
    <row r="67" spans="1:10">
      <c r="A67" s="204" t="s">
        <v>323</v>
      </c>
      <c r="B67" s="207" t="s">
        <v>11</v>
      </c>
      <c r="C67" s="193" t="s">
        <v>3</v>
      </c>
      <c r="D67" s="120">
        <f>ROUND('ТИП-ПРОИЗ'!E36*'ТИП-ПРОИЗ'!E89/1000,3)</f>
        <v>89137.262000000002</v>
      </c>
      <c r="E67" s="120"/>
      <c r="F67" s="120">
        <f t="shared" si="2"/>
        <v>89137.262000000002</v>
      </c>
      <c r="G67" s="120">
        <f>ROUND('ТИП-ПРОИЗ'!F36*'ТИП-ПРОИЗ'!F89/1000,3)</f>
        <v>85981.748000000007</v>
      </c>
      <c r="H67" s="120"/>
      <c r="I67" s="188">
        <f t="shared" si="7"/>
        <v>85981.748000000007</v>
      </c>
      <c r="J67"/>
    </row>
    <row r="68" spans="1:10">
      <c r="A68" s="204" t="s">
        <v>720</v>
      </c>
      <c r="B68" s="207" t="str">
        <f>'ТИП-ПРОИЗ'!B79</f>
        <v>друг вид гориво (ВЕИ)</v>
      </c>
      <c r="C68" s="193" t="s">
        <v>3</v>
      </c>
      <c r="D68" s="120">
        <f>ROUND('ТИП-ПРОИЗ'!E37*'ТИП-ПРОИЗ'!E90/1000,3)</f>
        <v>0</v>
      </c>
      <c r="E68" s="120"/>
      <c r="F68" s="120">
        <f t="shared" si="2"/>
        <v>0</v>
      </c>
      <c r="G68" s="120">
        <f>ROUND('ТИП-ПРОИЗ'!F37*'ТИП-ПРОИЗ'!F90/1000,3)</f>
        <v>0</v>
      </c>
      <c r="H68" s="120"/>
      <c r="I68" s="188">
        <f t="shared" si="7"/>
        <v>0</v>
      </c>
    </row>
    <row r="69" spans="1:10" s="206" customFormat="1" ht="25.5" customHeight="1">
      <c r="A69" s="204" t="s">
        <v>84</v>
      </c>
      <c r="B69" s="208" t="s">
        <v>526</v>
      </c>
      <c r="C69" s="193" t="s">
        <v>3</v>
      </c>
      <c r="D69" s="120">
        <f>SUM(D70:D74)</f>
        <v>0</v>
      </c>
      <c r="E69" s="120"/>
      <c r="F69" s="120">
        <f t="shared" ref="F69:F74" si="8">SUM(D69:E69)</f>
        <v>0</v>
      </c>
      <c r="G69" s="120">
        <f>SUM(G70:G74)</f>
        <v>0</v>
      </c>
      <c r="H69" s="120"/>
      <c r="I69" s="188">
        <f t="shared" ref="I69:I74" si="9">SUM(G69:H69)</f>
        <v>0</v>
      </c>
    </row>
    <row r="70" spans="1:10">
      <c r="A70" s="204" t="s">
        <v>517</v>
      </c>
      <c r="B70" s="207" t="s">
        <v>9</v>
      </c>
      <c r="C70" s="193" t="s">
        <v>3</v>
      </c>
      <c r="D70" s="120">
        <f>ROUND('ТИП-ПРОИЗ'!E50*'ТИП-ПРОИЗ'!E86/1000,3)</f>
        <v>0</v>
      </c>
      <c r="E70" s="120"/>
      <c r="F70" s="120">
        <f t="shared" si="8"/>
        <v>0</v>
      </c>
      <c r="G70" s="120">
        <f>ROUND('ТИП-ПРОИЗ'!F50*'ТИП-ПРОИЗ'!F86/1000,3)</f>
        <v>0</v>
      </c>
      <c r="H70" s="120"/>
      <c r="I70" s="188">
        <f t="shared" si="9"/>
        <v>0</v>
      </c>
    </row>
    <row r="71" spans="1:10">
      <c r="A71" s="204" t="s">
        <v>518</v>
      </c>
      <c r="B71" s="207" t="s">
        <v>10</v>
      </c>
      <c r="C71" s="193" t="s">
        <v>3</v>
      </c>
      <c r="D71" s="120">
        <f>ROUND('ТИП-ПРОИЗ'!E51*'ТИП-ПРОИЗ'!E87/1000,3)</f>
        <v>0</v>
      </c>
      <c r="E71" s="120"/>
      <c r="F71" s="120">
        <f t="shared" si="8"/>
        <v>0</v>
      </c>
      <c r="G71" s="120">
        <f>ROUND('ТИП-ПРОИЗ'!F51*'ТИП-ПРОИЗ'!F87/1000,3)</f>
        <v>0</v>
      </c>
      <c r="H71" s="120"/>
      <c r="I71" s="188">
        <f t="shared" si="9"/>
        <v>0</v>
      </c>
    </row>
    <row r="72" spans="1:10">
      <c r="A72" s="204" t="s">
        <v>519</v>
      </c>
      <c r="B72" s="207" t="s">
        <v>12</v>
      </c>
      <c r="C72" s="193" t="s">
        <v>3</v>
      </c>
      <c r="D72" s="120">
        <f>ROUND('ТИП-ПРОИЗ'!E52*'ТИП-ПРОИЗ'!E88/1000,3)</f>
        <v>0</v>
      </c>
      <c r="E72" s="120"/>
      <c r="F72" s="120">
        <f t="shared" si="8"/>
        <v>0</v>
      </c>
      <c r="G72" s="120">
        <f>ROUND('ТИП-ПРОИЗ'!F52*'ТИП-ПРОИЗ'!F88/1000,3)</f>
        <v>0</v>
      </c>
      <c r="H72" s="120"/>
      <c r="I72" s="188">
        <f t="shared" si="9"/>
        <v>0</v>
      </c>
    </row>
    <row r="73" spans="1:10">
      <c r="A73" s="204" t="s">
        <v>520</v>
      </c>
      <c r="B73" s="207" t="s">
        <v>11</v>
      </c>
      <c r="C73" s="193" t="s">
        <v>3</v>
      </c>
      <c r="D73" s="120">
        <f>ROUND('ТИП-ПРОИЗ'!E53*'ТИП-ПРОИЗ'!E89/1000,3)</f>
        <v>0</v>
      </c>
      <c r="E73" s="120"/>
      <c r="F73" s="120">
        <f t="shared" si="8"/>
        <v>0</v>
      </c>
      <c r="G73" s="120">
        <f>ROUND('ТИП-ПРОИЗ'!F53*'ТИП-ПРОИЗ'!F89/1000,3)</f>
        <v>0</v>
      </c>
      <c r="H73" s="120"/>
      <c r="I73" s="188">
        <f t="shared" si="9"/>
        <v>0</v>
      </c>
    </row>
    <row r="74" spans="1:10">
      <c r="A74" s="204" t="s">
        <v>721</v>
      </c>
      <c r="B74" s="207" t="str">
        <f>'ТИП-ПРОИЗ'!B54</f>
        <v>друг вид гориво (ВЕИ)</v>
      </c>
      <c r="C74" s="193" t="s">
        <v>3</v>
      </c>
      <c r="D74" s="120">
        <f>ROUND('ТИП-ПРОИЗ'!E54*'ТИП-ПРОИЗ'!E90/1000,3)</f>
        <v>0</v>
      </c>
      <c r="E74" s="120"/>
      <c r="F74" s="120">
        <f t="shared" si="8"/>
        <v>0</v>
      </c>
      <c r="G74" s="120">
        <f>ROUND('ТИП-ПРОИЗ'!F54*'ТИП-ПРОИЗ'!F90/1000,3)</f>
        <v>0</v>
      </c>
      <c r="H74" s="120"/>
      <c r="I74" s="188">
        <f t="shared" si="9"/>
        <v>0</v>
      </c>
    </row>
    <row r="75" spans="1:10">
      <c r="A75" s="204" t="s">
        <v>101</v>
      </c>
      <c r="B75" s="209" t="s">
        <v>13</v>
      </c>
      <c r="C75" s="193" t="s">
        <v>3</v>
      </c>
      <c r="D75" s="681">
        <v>291</v>
      </c>
      <c r="E75" s="64"/>
      <c r="F75" s="120">
        <f t="shared" si="2"/>
        <v>291</v>
      </c>
      <c r="G75" s="668">
        <v>278.30821714878755</v>
      </c>
      <c r="H75" s="64"/>
      <c r="I75" s="188">
        <f t="shared" ref="I75:I85" si="10">SUM(G75:H75)</f>
        <v>278.30821714878755</v>
      </c>
      <c r="J75" s="700"/>
    </row>
    <row r="76" spans="1:10">
      <c r="A76" s="204" t="s">
        <v>102</v>
      </c>
      <c r="B76" s="209" t="s">
        <v>310</v>
      </c>
      <c r="C76" s="193" t="s">
        <v>3</v>
      </c>
      <c r="D76" s="681">
        <v>3701</v>
      </c>
      <c r="E76" s="64"/>
      <c r="F76" s="120">
        <f t="shared" si="2"/>
        <v>3701</v>
      </c>
      <c r="G76" s="668">
        <v>3539.5832016070885</v>
      </c>
      <c r="H76" s="64"/>
      <c r="I76" s="188">
        <f t="shared" si="10"/>
        <v>3539.5832016070885</v>
      </c>
      <c r="J76" s="700"/>
    </row>
    <row r="77" spans="1:10">
      <c r="A77" s="204" t="s">
        <v>521</v>
      </c>
      <c r="B77" s="209" t="s">
        <v>131</v>
      </c>
      <c r="C77" s="193" t="s">
        <v>3</v>
      </c>
      <c r="D77" s="681">
        <v>1370</v>
      </c>
      <c r="E77" s="64"/>
      <c r="F77" s="120">
        <f t="shared" si="2"/>
        <v>1370</v>
      </c>
      <c r="G77" s="668">
        <v>1310.2483075389655</v>
      </c>
      <c r="H77" s="64"/>
      <c r="I77" s="188">
        <f t="shared" si="10"/>
        <v>1310.2483075389655</v>
      </c>
      <c r="J77" s="700"/>
    </row>
    <row r="78" spans="1:10">
      <c r="A78" s="210">
        <v>2</v>
      </c>
      <c r="B78" s="209" t="s">
        <v>100</v>
      </c>
      <c r="C78" s="193" t="s">
        <v>3</v>
      </c>
      <c r="D78" s="681">
        <v>531</v>
      </c>
      <c r="E78" s="64"/>
      <c r="F78" s="120">
        <f t="shared" si="2"/>
        <v>531</v>
      </c>
      <c r="G78" s="668">
        <v>507.84076737459179</v>
      </c>
      <c r="H78" s="64"/>
      <c r="I78" s="188">
        <f t="shared" si="10"/>
        <v>507.84076737459179</v>
      </c>
      <c r="J78" s="700"/>
    </row>
    <row r="79" spans="1:10">
      <c r="A79" s="211" t="s">
        <v>429</v>
      </c>
      <c r="B79" s="212" t="s">
        <v>524</v>
      </c>
      <c r="C79" s="213" t="s">
        <v>3</v>
      </c>
      <c r="D79" s="214">
        <f>SUM(D80,D81)</f>
        <v>0</v>
      </c>
      <c r="E79" s="215"/>
      <c r="F79" s="216">
        <f t="shared" ref="F79:F85" si="11">SUM(D79:E79)</f>
        <v>0</v>
      </c>
      <c r="G79" s="214">
        <f>SUM(G80,G81)</f>
        <v>0</v>
      </c>
      <c r="H79" s="215"/>
      <c r="I79" s="217">
        <f>SUM(G79:H79)</f>
        <v>0</v>
      </c>
    </row>
    <row r="80" spans="1:10">
      <c r="A80" s="218" t="s">
        <v>261</v>
      </c>
      <c r="B80" s="207" t="s">
        <v>522</v>
      </c>
      <c r="C80" s="193" t="s">
        <v>3</v>
      </c>
      <c r="D80" s="120">
        <f>ROUND('ТИП-ПРОИЗ'!E38*'ТИП-ПРОИЗ'!$B38/1000,3)</f>
        <v>0</v>
      </c>
      <c r="E80" s="120"/>
      <c r="F80" s="120">
        <f t="shared" si="11"/>
        <v>0</v>
      </c>
      <c r="G80" s="120">
        <f>ROUND('ТИП-ПРОИЗ'!F38*'ТИП-ПРОИЗ'!$B38/1000,3)</f>
        <v>0</v>
      </c>
      <c r="H80" s="120"/>
      <c r="I80" s="188">
        <f>SUM(G80:H80)</f>
        <v>0</v>
      </c>
    </row>
    <row r="81" spans="1:9">
      <c r="A81" s="218" t="s">
        <v>262</v>
      </c>
      <c r="B81" s="207" t="s">
        <v>523</v>
      </c>
      <c r="C81" s="193" t="s">
        <v>3</v>
      </c>
      <c r="D81" s="120">
        <f>ROUND('ТИП-ПРОИЗ'!E55*'ТИП-ПРОИЗ'!$B55/1000,3)</f>
        <v>0</v>
      </c>
      <c r="E81" s="120"/>
      <c r="F81" s="120">
        <f t="shared" si="11"/>
        <v>0</v>
      </c>
      <c r="G81" s="120">
        <f>ROUND('ТИП-ПРОИЗ'!F55*'ТИП-ПРОИЗ'!$B55/1000,3)</f>
        <v>0</v>
      </c>
      <c r="H81" s="120"/>
      <c r="I81" s="188">
        <f>SUM(G81:H81)</f>
        <v>0</v>
      </c>
    </row>
    <row r="82" spans="1:9" ht="25.5">
      <c r="A82" s="204" t="s">
        <v>430</v>
      </c>
      <c r="B82" s="219" t="s">
        <v>525</v>
      </c>
      <c r="C82" s="193" t="s">
        <v>3</v>
      </c>
      <c r="D82" s="214">
        <f>SUM(D83:D84)</f>
        <v>3930.9161256983871</v>
      </c>
      <c r="E82" s="215"/>
      <c r="F82" s="216">
        <f t="shared" si="11"/>
        <v>3930.9161256983871</v>
      </c>
      <c r="G82" s="214">
        <f>SUM(G83:G84)</f>
        <v>3780.2002524443642</v>
      </c>
      <c r="H82" s="215"/>
      <c r="I82" s="217">
        <f>SUM(G82:H82)</f>
        <v>3780.2002524443642</v>
      </c>
    </row>
    <row r="83" spans="1:9" ht="25.5">
      <c r="A83" s="204" t="s">
        <v>251</v>
      </c>
      <c r="B83" s="219" t="s">
        <v>528</v>
      </c>
      <c r="C83" s="193" t="s">
        <v>3</v>
      </c>
      <c r="D83" s="214">
        <f>'ТИП-ПРОИЗ'!$B39*'ТИП-ПРОИЗ'!E39/1000</f>
        <v>3930.9161256983871</v>
      </c>
      <c r="F83" s="215"/>
      <c r="G83" s="214">
        <f>'ТИП-ПРОИЗ'!$B39*'ТИП-ПРОИЗ'!F39/1000</f>
        <v>3780.2002524443642</v>
      </c>
      <c r="H83" s="215"/>
      <c r="I83" s="217">
        <f>SUM(G83:H83)</f>
        <v>3780.2002524443642</v>
      </c>
    </row>
    <row r="84" spans="1:9" ht="25.5">
      <c r="A84" s="204" t="s">
        <v>252</v>
      </c>
      <c r="B84" s="219" t="s">
        <v>529</v>
      </c>
      <c r="C84" s="193" t="s">
        <v>3</v>
      </c>
      <c r="D84" s="214">
        <f>'ТИП-ПРОИЗ'!$B56*'ТИП-ПРОИЗ'!E56/1000</f>
        <v>0</v>
      </c>
      <c r="E84" s="215"/>
      <c r="F84" s="216">
        <f t="shared" si="11"/>
        <v>0</v>
      </c>
      <c r="G84" s="214">
        <f>'ТИП-ПРОИЗ'!$B56*'ТИП-ПРОИЗ'!F56/1000</f>
        <v>0</v>
      </c>
      <c r="H84" s="215"/>
      <c r="I84" s="217">
        <f t="shared" si="10"/>
        <v>0</v>
      </c>
    </row>
    <row r="85" spans="1:9" ht="26.25" thickBot="1">
      <c r="A85" s="220" t="s">
        <v>431</v>
      </c>
      <c r="B85" s="221" t="s">
        <v>428</v>
      </c>
      <c r="C85" s="222" t="s">
        <v>3</v>
      </c>
      <c r="D85" s="223">
        <f>'ТИП-ПРОИЗ'!E98*'ТИП-ПРОИЗ'!E100/1000</f>
        <v>25705.775865735002</v>
      </c>
      <c r="E85" s="224"/>
      <c r="F85" s="223">
        <f t="shared" si="11"/>
        <v>25705.775865735002</v>
      </c>
      <c r="G85" s="223">
        <f>'ТИП-ПРОИЗ'!F98*'ТИП-ПРОИЗ'!F100/1000</f>
        <v>25270.262398400002</v>
      </c>
      <c r="H85" s="224"/>
      <c r="I85" s="225">
        <f t="shared" si="10"/>
        <v>25270.262398400002</v>
      </c>
    </row>
    <row r="86" spans="1:9" ht="13.5" thickTop="1"/>
    <row r="87" spans="1:9">
      <c r="A87" s="226" t="s">
        <v>128</v>
      </c>
      <c r="B87" s="227"/>
      <c r="C87" s="228"/>
      <c r="D87" s="229"/>
      <c r="E87" s="229"/>
      <c r="F87" s="230"/>
      <c r="G87" s="230"/>
      <c r="H87" s="230"/>
      <c r="I87" s="230"/>
    </row>
    <row r="88" spans="1:9">
      <c r="A88" s="131" t="s">
        <v>129</v>
      </c>
    </row>
    <row r="89" spans="1:9">
      <c r="A89" s="131" t="s">
        <v>130</v>
      </c>
    </row>
    <row r="90" spans="1:9"/>
    <row r="91" spans="1:9">
      <c r="A91" s="131" t="s">
        <v>254</v>
      </c>
      <c r="E91" s="231" t="s">
        <v>253</v>
      </c>
    </row>
    <row r="92" spans="1:9"/>
    <row r="93" spans="1:9">
      <c r="B93" s="673" t="s">
        <v>768</v>
      </c>
      <c r="F93" s="717" t="s">
        <v>769</v>
      </c>
      <c r="G93" s="717"/>
      <c r="H93" s="717"/>
      <c r="I93" s="717"/>
    </row>
    <row r="94" spans="1:9"/>
    <row r="95" spans="1:9" hidden="1"/>
    <row r="96" spans="1:9" hidden="1">
      <c r="A96" s="232"/>
      <c r="B96" s="233"/>
      <c r="C96" s="232"/>
      <c r="D96" s="232"/>
      <c r="E96" s="232"/>
      <c r="F96" s="232"/>
      <c r="G96" s="232"/>
      <c r="H96" s="232"/>
      <c r="I96" s="232"/>
    </row>
    <row r="97" spans="1:9" hidden="1">
      <c r="A97" s="232"/>
      <c r="B97" s="233"/>
      <c r="C97" s="232"/>
      <c r="D97" s="232"/>
      <c r="E97" s="232"/>
      <c r="F97" s="232"/>
      <c r="G97" s="232"/>
      <c r="H97" s="232"/>
      <c r="I97" s="232"/>
    </row>
    <row r="98" spans="1:9" hidden="1"/>
    <row r="99" spans="1:9" hidden="1"/>
    <row r="100" spans="1:9" hidden="1">
      <c r="B100" s="234"/>
    </row>
    <row r="101" spans="1:9" hidden="1">
      <c r="B101" s="105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F93:I93"/>
    <mergeCell ref="B1:C1"/>
    <mergeCell ref="B2:C2"/>
    <mergeCell ref="B3:C3"/>
    <mergeCell ref="G5:I5"/>
    <mergeCell ref="A5:A6"/>
    <mergeCell ref="B5:B6"/>
    <mergeCell ref="C5:C6"/>
    <mergeCell ref="D5:F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9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9"/>
  <sheetViews>
    <sheetView showGridLines="0" showZeros="0" workbookViewId="0">
      <selection activeCell="D16" sqref="D16:F16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4" width="8.42578125" style="19" customWidth="1"/>
    <col min="5" max="5" width="7.5703125" style="19" customWidth="1"/>
    <col min="6" max="6" width="10" style="19" customWidth="1"/>
    <col min="7" max="7" width="8.5703125" style="2" customWidth="1"/>
    <col min="8" max="8" width="7.5703125" style="2" customWidth="1"/>
    <col min="9" max="9" width="8.855468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59" t="s">
        <v>176</v>
      </c>
      <c r="C1" s="759"/>
      <c r="D1" s="23"/>
      <c r="E1" s="23"/>
      <c r="F1" s="23"/>
      <c r="G1" s="23"/>
      <c r="H1" s="23"/>
      <c r="I1" s="61" t="s">
        <v>681</v>
      </c>
    </row>
    <row r="2" spans="1:9" s="3" customFormat="1">
      <c r="A2" s="23"/>
      <c r="B2" s="754" t="str">
        <f>'ТИП-ПРОИЗ'!B3</f>
        <v>"БРИКЕЛ" ЕАД</v>
      </c>
      <c r="C2" s="754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25" t="s">
        <v>0</v>
      </c>
      <c r="B4" s="727" t="s">
        <v>132</v>
      </c>
      <c r="C4" s="729" t="s">
        <v>2</v>
      </c>
      <c r="D4" s="755" t="s">
        <v>774</v>
      </c>
      <c r="E4" s="755"/>
      <c r="F4" s="755"/>
      <c r="G4" s="756">
        <f>'ТИП-ПРОИЗ'!F6</f>
        <v>2020</v>
      </c>
      <c r="H4" s="756"/>
      <c r="I4" s="757"/>
    </row>
    <row r="5" spans="1:9" s="3" customFormat="1" ht="35.25" customHeight="1">
      <c r="A5" s="726"/>
      <c r="B5" s="728"/>
      <c r="C5" s="730"/>
      <c r="D5" s="25" t="s">
        <v>150</v>
      </c>
      <c r="E5" s="750" t="s">
        <v>148</v>
      </c>
      <c r="F5" s="750"/>
      <c r="G5" s="25" t="s">
        <v>150</v>
      </c>
      <c r="H5" s="750" t="s">
        <v>148</v>
      </c>
      <c r="I5" s="751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157026</v>
      </c>
      <c r="E6" s="742">
        <f>SUM(E7,E14)</f>
        <v>98790</v>
      </c>
      <c r="F6" s="742"/>
      <c r="G6" s="27">
        <f>SUM(G7,G14)</f>
        <v>157026</v>
      </c>
      <c r="H6" s="742">
        <f>SUM(H7,H14)</f>
        <v>98790</v>
      </c>
      <c r="I6" s="743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156945</v>
      </c>
      <c r="E7" s="744">
        <f>SUM(E8:F13)</f>
        <v>98715</v>
      </c>
      <c r="F7" s="744"/>
      <c r="G7" s="28">
        <f>SUM(G8:G13)</f>
        <v>156945</v>
      </c>
      <c r="H7" s="744">
        <f>SUM(H8:I13)</f>
        <v>98715</v>
      </c>
      <c r="I7" s="745"/>
    </row>
    <row r="8" spans="1:9" s="3" customFormat="1">
      <c r="A8" s="26"/>
      <c r="B8" s="8" t="s">
        <v>135</v>
      </c>
      <c r="C8" s="12" t="s">
        <v>3</v>
      </c>
      <c r="D8" s="683">
        <v>9748</v>
      </c>
      <c r="E8" s="752"/>
      <c r="F8" s="753"/>
      <c r="G8" s="29">
        <v>9748</v>
      </c>
      <c r="H8" s="752"/>
      <c r="I8" s="758"/>
    </row>
    <row r="9" spans="1:9" s="3" customFormat="1">
      <c r="A9" s="26"/>
      <c r="B9" s="8" t="s">
        <v>136</v>
      </c>
      <c r="C9" s="12" t="s">
        <v>3</v>
      </c>
      <c r="D9" s="683">
        <v>28645</v>
      </c>
      <c r="E9" s="752">
        <v>11785</v>
      </c>
      <c r="F9" s="753"/>
      <c r="G9" s="29">
        <v>28645</v>
      </c>
      <c r="H9" s="752">
        <v>11785</v>
      </c>
      <c r="I9" s="758"/>
    </row>
    <row r="10" spans="1:9" s="3" customFormat="1">
      <c r="A10" s="26"/>
      <c r="B10" s="8" t="s">
        <v>137</v>
      </c>
      <c r="C10" s="12" t="s">
        <v>3</v>
      </c>
      <c r="D10" s="683">
        <v>115775</v>
      </c>
      <c r="E10" s="752">
        <v>84396</v>
      </c>
      <c r="F10" s="753"/>
      <c r="G10" s="29">
        <v>115775</v>
      </c>
      <c r="H10" s="752">
        <v>84396</v>
      </c>
      <c r="I10" s="758"/>
    </row>
    <row r="11" spans="1:9" s="3" customFormat="1">
      <c r="A11" s="26"/>
      <c r="B11" s="8" t="s">
        <v>138</v>
      </c>
      <c r="C11" s="12" t="s">
        <v>3</v>
      </c>
      <c r="D11" s="683">
        <v>1516</v>
      </c>
      <c r="E11" s="752">
        <v>1356</v>
      </c>
      <c r="F11" s="753"/>
      <c r="G11" s="29">
        <v>1516</v>
      </c>
      <c r="H11" s="752">
        <v>1356</v>
      </c>
      <c r="I11" s="758"/>
    </row>
    <row r="12" spans="1:9" s="3" customFormat="1">
      <c r="A12" s="26"/>
      <c r="B12" s="8" t="s">
        <v>139</v>
      </c>
      <c r="C12" s="12" t="s">
        <v>3</v>
      </c>
      <c r="D12" s="683">
        <v>1256</v>
      </c>
      <c r="E12" s="752">
        <v>1176</v>
      </c>
      <c r="F12" s="753"/>
      <c r="G12" s="29">
        <v>1256</v>
      </c>
      <c r="H12" s="752">
        <v>1176</v>
      </c>
      <c r="I12" s="758"/>
    </row>
    <row r="13" spans="1:9" s="3" customFormat="1">
      <c r="A13" s="26"/>
      <c r="B13" s="8" t="s">
        <v>140</v>
      </c>
      <c r="C13" s="12" t="s">
        <v>3</v>
      </c>
      <c r="D13" s="683">
        <v>5</v>
      </c>
      <c r="E13" s="752">
        <v>2</v>
      </c>
      <c r="F13" s="753"/>
      <c r="G13" s="29">
        <v>5</v>
      </c>
      <c r="H13" s="752">
        <v>2</v>
      </c>
      <c r="I13" s="758"/>
    </row>
    <row r="14" spans="1:9" s="3" customFormat="1">
      <c r="A14" s="26" t="s">
        <v>142</v>
      </c>
      <c r="B14" s="7" t="s">
        <v>174</v>
      </c>
      <c r="C14" s="12" t="s">
        <v>3</v>
      </c>
      <c r="D14" s="683">
        <v>81</v>
      </c>
      <c r="E14" s="752">
        <v>75</v>
      </c>
      <c r="F14" s="753"/>
      <c r="G14" s="29">
        <v>81</v>
      </c>
      <c r="H14" s="752">
        <v>75</v>
      </c>
      <c r="I14" s="758"/>
    </row>
    <row r="15" spans="1:9" s="3" customFormat="1">
      <c r="A15" s="26" t="s">
        <v>143</v>
      </c>
      <c r="B15" s="13" t="s">
        <v>153</v>
      </c>
      <c r="C15" s="12" t="s">
        <v>3</v>
      </c>
      <c r="D15" s="99"/>
      <c r="E15" s="752"/>
      <c r="F15" s="753"/>
      <c r="G15" s="29"/>
      <c r="H15" s="752"/>
      <c r="I15" s="758"/>
    </row>
    <row r="16" spans="1:9" s="3" customFormat="1">
      <c r="A16" s="26" t="s">
        <v>177</v>
      </c>
      <c r="B16" s="30" t="s">
        <v>147</v>
      </c>
      <c r="C16" s="12" t="s">
        <v>3</v>
      </c>
      <c r="D16" s="761">
        <v>18187.548923929175</v>
      </c>
      <c r="E16" s="762"/>
      <c r="F16" s="763"/>
      <c r="G16" s="764">
        <v>17768.328568064229</v>
      </c>
      <c r="H16" s="764"/>
      <c r="I16" s="765"/>
    </row>
    <row r="17" spans="1:36" ht="13.5" thickBot="1">
      <c r="A17" s="31" t="s">
        <v>178</v>
      </c>
      <c r="B17" s="39" t="s">
        <v>146</v>
      </c>
      <c r="C17" s="42" t="s">
        <v>3</v>
      </c>
      <c r="D17" s="740">
        <f>SUM(D6,D16)-SUM(D15,E6)</f>
        <v>76423.548923929164</v>
      </c>
      <c r="E17" s="740"/>
      <c r="F17" s="740"/>
      <c r="G17" s="740">
        <f>SUM(G6,G16)-SUM(G15,H6)</f>
        <v>76004.328568064229</v>
      </c>
      <c r="H17" s="740"/>
      <c r="I17" s="741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69"/>
      <c r="C18" s="62"/>
      <c r="D18" s="70"/>
      <c r="E18" s="70"/>
      <c r="F18" s="70"/>
      <c r="G18" s="70"/>
      <c r="H18" s="70"/>
      <c r="I18" s="70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60">
        <f>IF(G17=0,0,D35/G17)</f>
        <v>0.99911618948202585</v>
      </c>
      <c r="B20" s="760"/>
      <c r="C20" s="760"/>
      <c r="D20" s="760"/>
      <c r="E20" s="760"/>
      <c r="F20" s="760"/>
      <c r="G20" s="760"/>
      <c r="H20" s="760"/>
      <c r="I20" s="760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25" t="s">
        <v>0</v>
      </c>
      <c r="B22" s="727" t="s">
        <v>132</v>
      </c>
      <c r="C22" s="729" t="s">
        <v>2</v>
      </c>
      <c r="D22" s="747" t="s">
        <v>283</v>
      </c>
      <c r="E22" s="747"/>
      <c r="F22" s="747"/>
      <c r="G22" s="748" t="s">
        <v>85</v>
      </c>
      <c r="H22" s="748"/>
      <c r="I22" s="749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26"/>
      <c r="B23" s="728"/>
      <c r="C23" s="730"/>
      <c r="D23" s="25" t="s">
        <v>150</v>
      </c>
      <c r="E23" s="750" t="s">
        <v>148</v>
      </c>
      <c r="F23" s="750"/>
      <c r="G23" s="25" t="s">
        <v>150</v>
      </c>
      <c r="H23" s="750" t="s">
        <v>148</v>
      </c>
      <c r="I23" s="751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153960</v>
      </c>
      <c r="E24" s="742">
        <f>SUM(E25,E32)</f>
        <v>95766</v>
      </c>
      <c r="F24" s="742"/>
      <c r="G24" s="27">
        <f>SUM(G25,G32)</f>
        <v>3066</v>
      </c>
      <c r="H24" s="742">
        <f>SUM(H25,H32)</f>
        <v>3024</v>
      </c>
      <c r="I24" s="74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153879</v>
      </c>
      <c r="E25" s="744">
        <f>SUM(E26:F31)</f>
        <v>95691</v>
      </c>
      <c r="F25" s="744"/>
      <c r="G25" s="28">
        <f>SUM(G26:G31)</f>
        <v>3066</v>
      </c>
      <c r="H25" s="744">
        <f>SUM(H26:I31)</f>
        <v>3024</v>
      </c>
      <c r="I25" s="74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9748</v>
      </c>
      <c r="E26" s="734">
        <f t="shared" si="0"/>
        <v>0</v>
      </c>
      <c r="F26" s="734"/>
      <c r="G26" s="690"/>
      <c r="H26" s="735"/>
      <c r="I26" s="73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28620</v>
      </c>
      <c r="E27" s="734">
        <f t="shared" si="0"/>
        <v>11775</v>
      </c>
      <c r="F27" s="734"/>
      <c r="G27" s="690">
        <v>25</v>
      </c>
      <c r="H27" s="735">
        <v>10</v>
      </c>
      <c r="I27" s="73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112738</v>
      </c>
      <c r="E28" s="734">
        <f t="shared" si="0"/>
        <v>81386</v>
      </c>
      <c r="F28" s="734"/>
      <c r="G28" s="43">
        <v>3037</v>
      </c>
      <c r="H28" s="735">
        <v>3010</v>
      </c>
      <c r="I28" s="73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1516</v>
      </c>
      <c r="E29" s="734">
        <f>SUM(H11,-H29)</f>
        <v>1356</v>
      </c>
      <c r="F29" s="734"/>
      <c r="G29" s="690"/>
      <c r="H29" s="735"/>
      <c r="I29" s="73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1254</v>
      </c>
      <c r="E30" s="734">
        <f t="shared" si="0"/>
        <v>1174</v>
      </c>
      <c r="F30" s="734"/>
      <c r="G30" s="690">
        <v>2</v>
      </c>
      <c r="H30" s="735">
        <v>2</v>
      </c>
      <c r="I30" s="73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3</v>
      </c>
      <c r="E31" s="734">
        <f t="shared" si="0"/>
        <v>0</v>
      </c>
      <c r="F31" s="734"/>
      <c r="G31" s="690">
        <v>2</v>
      </c>
      <c r="H31" s="735">
        <v>2</v>
      </c>
      <c r="I31" s="73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81</v>
      </c>
      <c r="E32" s="734">
        <f t="shared" si="0"/>
        <v>75</v>
      </c>
      <c r="F32" s="734"/>
      <c r="G32" s="43"/>
      <c r="H32" s="735"/>
      <c r="I32" s="73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734">
        <f t="shared" si="0"/>
        <v>0</v>
      </c>
      <c r="F33" s="734"/>
      <c r="G33" s="29"/>
      <c r="H33" s="735"/>
      <c r="I33" s="73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37">
        <f>SUM(G16,-G34)</f>
        <v>17743.155143064228</v>
      </c>
      <c r="E34" s="737"/>
      <c r="F34" s="737"/>
      <c r="G34" s="738">
        <v>25.173425000000002</v>
      </c>
      <c r="H34" s="738"/>
      <c r="I34" s="739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40">
        <f>SUM(D24,D34)-SUM(D33,E24)</f>
        <v>75937.155143064214</v>
      </c>
      <c r="E35" s="740"/>
      <c r="F35" s="740"/>
      <c r="G35" s="740">
        <f>SUM(G24,G34)-SUM(G33,H24)</f>
        <v>67.173424999999952</v>
      </c>
      <c r="H35" s="740"/>
      <c r="I35" s="741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69"/>
      <c r="C36" s="62"/>
      <c r="D36" s="70"/>
      <c r="E36" s="70"/>
      <c r="F36" s="70"/>
      <c r="G36" s="70"/>
      <c r="H36" s="70"/>
      <c r="I36" s="70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46">
        <f>IF(D35=0,0,D53/D35)</f>
        <v>1</v>
      </c>
      <c r="B38" s="746"/>
      <c r="C38" s="746"/>
      <c r="D38" s="746"/>
      <c r="E38" s="746"/>
      <c r="F38" s="746"/>
      <c r="G38" s="746"/>
      <c r="H38" s="746"/>
      <c r="I38" s="746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25" t="s">
        <v>0</v>
      </c>
      <c r="B40" s="727" t="s">
        <v>132</v>
      </c>
      <c r="C40" s="729" t="s">
        <v>2</v>
      </c>
      <c r="D40" s="747" t="s">
        <v>385</v>
      </c>
      <c r="E40" s="747"/>
      <c r="F40" s="747"/>
      <c r="G40" s="748" t="s">
        <v>386</v>
      </c>
      <c r="H40" s="748"/>
      <c r="I40" s="749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26"/>
      <c r="B41" s="728"/>
      <c r="C41" s="730"/>
      <c r="D41" s="25" t="s">
        <v>150</v>
      </c>
      <c r="E41" s="750" t="s">
        <v>148</v>
      </c>
      <c r="F41" s="750"/>
      <c r="G41" s="25" t="s">
        <v>150</v>
      </c>
      <c r="H41" s="750" t="s">
        <v>148</v>
      </c>
      <c r="I41" s="751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153960</v>
      </c>
      <c r="E42" s="742">
        <f>SUM(E43,E50)</f>
        <v>95766</v>
      </c>
      <c r="F42" s="742"/>
      <c r="G42" s="27">
        <f>SUM(G43,G50)</f>
        <v>0</v>
      </c>
      <c r="H42" s="742">
        <f>SUM(H43,H50)</f>
        <v>0</v>
      </c>
      <c r="I42" s="74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153879</v>
      </c>
      <c r="E43" s="744">
        <f>SUM(E44:F49)</f>
        <v>95691</v>
      </c>
      <c r="F43" s="744"/>
      <c r="G43" s="28">
        <f>SUM(G44:G49)</f>
        <v>0</v>
      </c>
      <c r="H43" s="744">
        <f>SUM(H44:I49)</f>
        <v>0</v>
      </c>
      <c r="I43" s="74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9748</v>
      </c>
      <c r="E44" s="734">
        <f t="shared" si="1"/>
        <v>0</v>
      </c>
      <c r="F44" s="734"/>
      <c r="G44" s="29"/>
      <c r="H44" s="735"/>
      <c r="I44" s="736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28620</v>
      </c>
      <c r="E45" s="734">
        <f t="shared" si="1"/>
        <v>11775</v>
      </c>
      <c r="F45" s="734"/>
      <c r="G45" s="29"/>
      <c r="H45" s="735"/>
      <c r="I45" s="736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112738</v>
      </c>
      <c r="E46" s="734">
        <f t="shared" si="1"/>
        <v>81386</v>
      </c>
      <c r="F46" s="734"/>
      <c r="G46" s="43"/>
      <c r="H46" s="735"/>
      <c r="I46" s="736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1516</v>
      </c>
      <c r="E47" s="734">
        <f t="shared" si="1"/>
        <v>1356</v>
      </c>
      <c r="F47" s="734"/>
      <c r="G47" s="29"/>
      <c r="H47" s="735"/>
      <c r="I47" s="736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1254</v>
      </c>
      <c r="E48" s="734">
        <f t="shared" si="1"/>
        <v>1174</v>
      </c>
      <c r="F48" s="734"/>
      <c r="G48" s="29"/>
      <c r="H48" s="735"/>
      <c r="I48" s="736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3</v>
      </c>
      <c r="E49" s="734">
        <f t="shared" si="1"/>
        <v>0</v>
      </c>
      <c r="F49" s="734"/>
      <c r="G49" s="29"/>
      <c r="H49" s="735"/>
      <c r="I49" s="736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81</v>
      </c>
      <c r="E50" s="734">
        <f t="shared" si="1"/>
        <v>75</v>
      </c>
      <c r="F50" s="734"/>
      <c r="G50" s="43"/>
      <c r="H50" s="735"/>
      <c r="I50" s="736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734">
        <f t="shared" si="1"/>
        <v>0</v>
      </c>
      <c r="F51" s="734"/>
      <c r="G51" s="29"/>
      <c r="H51" s="735"/>
      <c r="I51" s="736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37">
        <f>SUM(D34,-G52)</f>
        <v>17743.155143064228</v>
      </c>
      <c r="E52" s="737"/>
      <c r="F52" s="737"/>
      <c r="G52" s="738"/>
      <c r="H52" s="738"/>
      <c r="I52" s="73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40">
        <f>SUM(D42,D52)-SUM(D51,E42)</f>
        <v>75937.155143064214</v>
      </c>
      <c r="E53" s="740"/>
      <c r="F53" s="740"/>
      <c r="G53" s="740">
        <f>SUM(G42,G52)-SUM(G51,H42)</f>
        <v>0</v>
      </c>
      <c r="H53" s="740"/>
      <c r="I53" s="741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69"/>
      <c r="C54" s="62"/>
      <c r="D54" s="70"/>
      <c r="E54" s="70"/>
      <c r="F54" s="70"/>
      <c r="G54" s="70"/>
      <c r="H54" s="70"/>
      <c r="I54" s="70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69"/>
      <c r="C55" s="62"/>
      <c r="D55" s="70"/>
      <c r="E55" s="70"/>
      <c r="F55" s="70"/>
      <c r="G55" s="70"/>
      <c r="H55" s="70"/>
      <c r="I55" s="70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69"/>
      <c r="C56" s="62"/>
      <c r="D56" s="70"/>
      <c r="E56" s="70"/>
      <c r="F56" s="70"/>
      <c r="G56" s="70"/>
      <c r="H56" s="70"/>
      <c r="I56" s="70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69"/>
      <c r="C57" s="62"/>
      <c r="D57" s="70"/>
      <c r="E57" s="70"/>
      <c r="F57" s="70"/>
      <c r="G57" s="70"/>
      <c r="H57" s="70"/>
      <c r="I57" s="70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24">
        <f>IF(G17=0,0,I69/G17)</f>
        <v>0.99482695820788503</v>
      </c>
      <c r="B59" s="724"/>
      <c r="C59" s="724"/>
      <c r="D59" s="724"/>
      <c r="E59" s="724"/>
      <c r="F59" s="724"/>
      <c r="G59" s="724"/>
      <c r="H59" s="724"/>
      <c r="I59" s="72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25" t="s">
        <v>0</v>
      </c>
      <c r="B61" s="727" t="s">
        <v>132</v>
      </c>
      <c r="C61" s="729" t="s">
        <v>2</v>
      </c>
      <c r="D61" s="731" t="str">
        <f>$D$4</f>
        <v>ОТЧЕТ към 31.12.2020 г.</v>
      </c>
      <c r="E61" s="731"/>
      <c r="F61" s="731"/>
      <c r="G61" s="732">
        <f>$G$4</f>
        <v>2020</v>
      </c>
      <c r="H61" s="732"/>
      <c r="I61" s="73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26"/>
      <c r="B62" s="728"/>
      <c r="C62" s="730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19" t="s">
        <v>154</v>
      </c>
      <c r="B64" s="13" t="s">
        <v>5</v>
      </c>
      <c r="C64" s="12" t="s">
        <v>3</v>
      </c>
      <c r="D64" s="53">
        <f>SUM(D7,-D70,-E70)</f>
        <v>153333</v>
      </c>
      <c r="E64" s="53"/>
      <c r="F64" s="53">
        <f t="shared" ref="F64:F69" si="2">D64</f>
        <v>153333</v>
      </c>
      <c r="G64" s="53">
        <f>SUM(D25,-G70)</f>
        <v>153333</v>
      </c>
      <c r="H64" s="53"/>
      <c r="I64" s="79">
        <f t="shared" ref="I64:I69" si="3">G64</f>
        <v>153333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20"/>
      <c r="B65" s="13" t="s">
        <v>175</v>
      </c>
      <c r="C65" s="12" t="s">
        <v>3</v>
      </c>
      <c r="D65" s="53">
        <f>SUM(D14,-D71,-E71)</f>
        <v>81</v>
      </c>
      <c r="E65" s="53"/>
      <c r="F65" s="53">
        <f t="shared" si="2"/>
        <v>81</v>
      </c>
      <c r="G65" s="53">
        <f>SUM(D32,-G71)</f>
        <v>81</v>
      </c>
      <c r="H65" s="53"/>
      <c r="I65" s="79">
        <f t="shared" si="3"/>
        <v>81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20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79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20"/>
      <c r="B67" s="13" t="s">
        <v>148</v>
      </c>
      <c r="C67" s="12" t="s">
        <v>94</v>
      </c>
      <c r="D67" s="53">
        <f>SUM(E6,-D73,-E73)</f>
        <v>95422</v>
      </c>
      <c r="E67" s="53"/>
      <c r="F67" s="53">
        <f t="shared" si="2"/>
        <v>95422</v>
      </c>
      <c r="G67" s="53">
        <f>SUM(E24,-G73)</f>
        <v>95422</v>
      </c>
      <c r="H67" s="53"/>
      <c r="I67" s="79">
        <f t="shared" si="3"/>
        <v>95422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20"/>
      <c r="B68" s="13" t="s">
        <v>6</v>
      </c>
      <c r="C68" s="12" t="s">
        <v>3</v>
      </c>
      <c r="D68" s="53">
        <f>SUM(D16,-D74,-E74)</f>
        <v>18038.375498929174</v>
      </c>
      <c r="E68" s="53"/>
      <c r="F68" s="53">
        <f t="shared" si="2"/>
        <v>18038.375498929174</v>
      </c>
      <c r="G68" s="53">
        <f>SUM(D34,-G74)</f>
        <v>17619.155143064228</v>
      </c>
      <c r="H68" s="53"/>
      <c r="I68" s="79">
        <f t="shared" si="3"/>
        <v>17619.155143064228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21"/>
      <c r="B69" s="40" t="s">
        <v>248</v>
      </c>
      <c r="C69" s="10" t="s">
        <v>3</v>
      </c>
      <c r="D69" s="92">
        <f>ROUND(SUM(D64:D65,D68)-D66-D67,3)</f>
        <v>76030.375</v>
      </c>
      <c r="E69" s="92"/>
      <c r="F69" s="92">
        <f t="shared" si="2"/>
        <v>76030.375</v>
      </c>
      <c r="G69" s="93">
        <f>ROUND(SUM(G64:G65,G68)-G66-G67,3)</f>
        <v>75611.154999999999</v>
      </c>
      <c r="H69" s="93"/>
      <c r="I69" s="94">
        <f t="shared" si="3"/>
        <v>75611.154999999999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22" t="s">
        <v>155</v>
      </c>
      <c r="B70" s="13" t="s">
        <v>5</v>
      </c>
      <c r="C70" s="12" t="s">
        <v>3</v>
      </c>
      <c r="D70" s="655">
        <v>546</v>
      </c>
      <c r="E70" s="655">
        <v>3066</v>
      </c>
      <c r="F70" s="53">
        <f t="shared" ref="F70:F76" si="4">SUM(D70:E70)</f>
        <v>3612</v>
      </c>
      <c r="G70" s="655">
        <v>546</v>
      </c>
      <c r="H70" s="100">
        <f>G25</f>
        <v>3066</v>
      </c>
      <c r="I70" s="79">
        <f t="shared" ref="I70:I76" si="5">SUM(G70:H70)</f>
        <v>3612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22"/>
      <c r="B71" s="13" t="s">
        <v>175</v>
      </c>
      <c r="C71" s="12" t="s">
        <v>3</v>
      </c>
      <c r="D71" s="655">
        <v>0</v>
      </c>
      <c r="E71" s="655">
        <v>0</v>
      </c>
      <c r="F71" s="53">
        <f t="shared" si="4"/>
        <v>0</v>
      </c>
      <c r="G71" s="655">
        <v>0</v>
      </c>
      <c r="H71" s="100">
        <f>G32</f>
        <v>0</v>
      </c>
      <c r="I71" s="79">
        <f t="shared" si="5"/>
        <v>0</v>
      </c>
      <c r="J71" s="36"/>
    </row>
    <row r="72" spans="1:36" ht="15" customHeight="1">
      <c r="A72" s="722"/>
      <c r="B72" s="13" t="s">
        <v>153</v>
      </c>
      <c r="C72" s="12" t="s">
        <v>3</v>
      </c>
      <c r="D72" s="655"/>
      <c r="E72" s="655"/>
      <c r="F72" s="53">
        <f t="shared" si="4"/>
        <v>0</v>
      </c>
      <c r="G72" s="655"/>
      <c r="H72" s="100">
        <f>G33</f>
        <v>0</v>
      </c>
      <c r="I72" s="79">
        <f t="shared" si="5"/>
        <v>0</v>
      </c>
      <c r="J72" s="36"/>
    </row>
    <row r="73" spans="1:36" ht="15" customHeight="1">
      <c r="A73" s="722"/>
      <c r="B73" s="13" t="s">
        <v>148</v>
      </c>
      <c r="C73" s="12" t="s">
        <v>94</v>
      </c>
      <c r="D73" s="655">
        <v>344</v>
      </c>
      <c r="E73" s="655">
        <v>3024</v>
      </c>
      <c r="F73" s="53">
        <f t="shared" si="4"/>
        <v>3368</v>
      </c>
      <c r="G73" s="655">
        <v>344</v>
      </c>
      <c r="H73" s="100">
        <f>H24</f>
        <v>3024</v>
      </c>
      <c r="I73" s="79">
        <f t="shared" si="5"/>
        <v>3368</v>
      </c>
      <c r="J73" s="36"/>
    </row>
    <row r="74" spans="1:36" ht="15" customHeight="1">
      <c r="A74" s="722"/>
      <c r="B74" s="13" t="s">
        <v>6</v>
      </c>
      <c r="C74" s="12" t="s">
        <v>3</v>
      </c>
      <c r="D74" s="655">
        <v>124</v>
      </c>
      <c r="E74" s="655">
        <v>25.173425000000002</v>
      </c>
      <c r="F74" s="53">
        <f t="shared" si="4"/>
        <v>149.17342500000001</v>
      </c>
      <c r="G74" s="655">
        <v>124</v>
      </c>
      <c r="H74" s="100">
        <f>G34</f>
        <v>25.173425000000002</v>
      </c>
      <c r="I74" s="79">
        <f t="shared" si="5"/>
        <v>149.17342500000001</v>
      </c>
      <c r="J74" s="36"/>
    </row>
    <row r="75" spans="1:36" ht="30" customHeight="1" thickBot="1">
      <c r="A75" s="723"/>
      <c r="B75" s="41" t="s">
        <v>249</v>
      </c>
      <c r="C75" s="37" t="s">
        <v>3</v>
      </c>
      <c r="D75" s="90">
        <f>ROUND(SUM(D70:D71,D74)-D72-D73,3)</f>
        <v>326</v>
      </c>
      <c r="E75" s="90">
        <f>ROUND(SUM(E70:E71,E74)-E72-E73,3)</f>
        <v>67.173000000000002</v>
      </c>
      <c r="F75" s="90">
        <f t="shared" si="4"/>
        <v>393.173</v>
      </c>
      <c r="G75" s="90">
        <f>ROUND(SUM(G70:G71,G74)-G72-G73,3)</f>
        <v>326</v>
      </c>
      <c r="H75" s="90">
        <f>ROUND(SUM(H70:H71,H74)-H72-H73,3)</f>
        <v>67.173000000000002</v>
      </c>
      <c r="I75" s="91">
        <f t="shared" si="5"/>
        <v>393.173</v>
      </c>
      <c r="J75" s="36"/>
    </row>
    <row r="76" spans="1:36" ht="30" customHeight="1" thickTop="1" thickBot="1">
      <c r="A76" s="512" t="s">
        <v>701</v>
      </c>
      <c r="B76" s="95" t="s">
        <v>700</v>
      </c>
      <c r="C76" s="96" t="s">
        <v>3</v>
      </c>
      <c r="D76" s="97">
        <f>ROUND(SUM(D69,D75),3)</f>
        <v>76356.375</v>
      </c>
      <c r="E76" s="97">
        <f>ROUND(SUM(E69,E75),3)</f>
        <v>67.173000000000002</v>
      </c>
      <c r="F76" s="97">
        <f t="shared" si="4"/>
        <v>76423.547999999995</v>
      </c>
      <c r="G76" s="97">
        <f>ROUND(SUM(G69,G75),3)</f>
        <v>75937.154999999999</v>
      </c>
      <c r="H76" s="97">
        <f>ROUND(SUM(H69,H75),3)</f>
        <v>67.173000000000002</v>
      </c>
      <c r="I76" s="98">
        <f t="shared" si="5"/>
        <v>76004.327999999994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254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tr">
        <f>Разходи!B93</f>
        <v>/ П.Маринова/</v>
      </c>
      <c r="C81" s="11"/>
      <c r="D81" s="3"/>
      <c r="E81" s="3"/>
      <c r="F81" s="3"/>
      <c r="G81" s="718" t="str">
        <f>Разходи!F93</f>
        <v>/ Янилин Павлов /</v>
      </c>
      <c r="H81" s="718"/>
      <c r="I81" s="718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89" orientation="portrait" blackAndWhite="1" r:id="rId1"/>
  <headerFooter alignWithMargins="0"/>
  <ignoredErrors>
    <ignoredError sqref="D26:F28 D44:F52 H70:H71 H73:H74 H72 D30:F34 D29 F29" unlockedFormula="1"/>
    <ignoredError sqref="F75:F76" formula="1"/>
    <ignoredError sqref="G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workbookViewId="0">
      <selection activeCell="F36" sqref="F36"/>
    </sheetView>
  </sheetViews>
  <sheetFormatPr defaultColWidth="0" defaultRowHeight="12.75" zeroHeight="1"/>
  <cols>
    <col min="1" max="1" width="3.85546875" style="102" customWidth="1"/>
    <col min="2" max="2" width="20.42578125" style="102" customWidth="1"/>
    <col min="3" max="4" width="11" style="102" customWidth="1"/>
    <col min="5" max="5" width="7.5703125" style="102" customWidth="1"/>
    <col min="6" max="6" width="16.5703125" style="102" customWidth="1"/>
    <col min="7" max="7" width="20.42578125" style="102" customWidth="1"/>
    <col min="8" max="8" width="7.5703125" style="102" customWidth="1"/>
    <col min="9" max="12" width="7.5703125" style="102" hidden="1" customWidth="1"/>
    <col min="13" max="16384" width="0" style="102" hidden="1"/>
  </cols>
  <sheetData>
    <row r="1" spans="1:8" ht="18.75">
      <c r="A1" s="101"/>
      <c r="B1" s="766">
        <v>3</v>
      </c>
      <c r="C1" s="766"/>
      <c r="D1" s="766"/>
      <c r="E1" s="766"/>
      <c r="F1" s="235"/>
      <c r="G1" s="132" t="s">
        <v>682</v>
      </c>
    </row>
    <row r="2" spans="1:8">
      <c r="A2" s="101"/>
      <c r="B2" s="101"/>
      <c r="C2" s="101"/>
      <c r="D2" s="101"/>
      <c r="E2" s="101"/>
      <c r="F2" s="101"/>
      <c r="G2" s="101"/>
    </row>
    <row r="3" spans="1:8">
      <c r="A3" s="101"/>
      <c r="B3" s="101"/>
      <c r="C3" s="101"/>
      <c r="D3" s="101"/>
      <c r="E3" s="101"/>
      <c r="F3" s="101"/>
      <c r="G3" s="101"/>
    </row>
    <row r="4" spans="1:8" ht="15.75" customHeight="1">
      <c r="A4" s="151"/>
      <c r="B4" s="767" t="s">
        <v>156</v>
      </c>
      <c r="C4" s="767"/>
      <c r="D4" s="767"/>
      <c r="E4" s="767"/>
      <c r="F4" s="151"/>
      <c r="G4" s="151"/>
    </row>
    <row r="5" spans="1:8" ht="15.75">
      <c r="A5" s="236"/>
      <c r="B5" s="768" t="str">
        <f>'ТИП-ПРОИЗ'!$B$3:$C$3</f>
        <v>"БРИКЕЛ" ЕАД</v>
      </c>
      <c r="C5" s="768"/>
      <c r="D5" s="768"/>
      <c r="E5" s="768"/>
      <c r="F5" s="236"/>
      <c r="G5" s="236"/>
    </row>
    <row r="6" spans="1:8" ht="15.75">
      <c r="A6" s="236"/>
      <c r="B6" s="237"/>
      <c r="C6" s="237"/>
      <c r="D6" s="237"/>
      <c r="E6" s="236"/>
      <c r="F6" s="236"/>
      <c r="G6" s="236"/>
    </row>
    <row r="7" spans="1:8" ht="15.75">
      <c r="A7" s="236"/>
      <c r="B7" s="237"/>
      <c r="C7" s="237"/>
      <c r="D7" s="237"/>
      <c r="E7" s="236"/>
      <c r="F7" s="236"/>
      <c r="G7" s="236"/>
    </row>
    <row r="8" spans="1:8"/>
    <row r="9" spans="1:8" ht="13.5" thickBot="1">
      <c r="A9" s="114"/>
      <c r="B9" s="114"/>
      <c r="C9" s="114"/>
      <c r="D9" s="114"/>
      <c r="E9" s="114"/>
      <c r="F9" s="114"/>
      <c r="G9" s="114"/>
    </row>
    <row r="10" spans="1:8" s="105" customFormat="1" ht="30" customHeight="1" thickTop="1">
      <c r="A10" s="238" t="s">
        <v>0</v>
      </c>
      <c r="B10" s="772" t="s">
        <v>71</v>
      </c>
      <c r="C10" s="773"/>
      <c r="D10" s="774"/>
      <c r="E10" s="239" t="s">
        <v>41</v>
      </c>
      <c r="F10" s="240" t="s">
        <v>775</v>
      </c>
      <c r="G10" s="518" t="s">
        <v>776</v>
      </c>
      <c r="H10" s="241"/>
    </row>
    <row r="11" spans="1:8" s="105" customFormat="1">
      <c r="A11" s="242">
        <v>1</v>
      </c>
      <c r="B11" s="775">
        <v>2</v>
      </c>
      <c r="C11" s="776"/>
      <c r="D11" s="777"/>
      <c r="E11" s="243">
        <v>3</v>
      </c>
      <c r="F11" s="243">
        <v>4</v>
      </c>
      <c r="G11" s="244">
        <v>5</v>
      </c>
      <c r="H11" s="245"/>
    </row>
    <row r="12" spans="1:8" s="248" customFormat="1" ht="15">
      <c r="A12" s="187">
        <v>1</v>
      </c>
      <c r="B12" s="769" t="s">
        <v>72</v>
      </c>
      <c r="C12" s="770"/>
      <c r="D12" s="771"/>
      <c r="E12" s="246" t="s">
        <v>73</v>
      </c>
      <c r="F12" s="684">
        <v>43492</v>
      </c>
      <c r="G12" s="685">
        <v>43492</v>
      </c>
      <c r="H12" s="247"/>
    </row>
    <row r="13" spans="1:8" s="248" customFormat="1" ht="15" customHeight="1">
      <c r="A13" s="187">
        <v>2</v>
      </c>
      <c r="B13" s="769" t="s">
        <v>92</v>
      </c>
      <c r="C13" s="770"/>
      <c r="D13" s="771"/>
      <c r="E13" s="246" t="s">
        <v>7</v>
      </c>
      <c r="F13" s="249">
        <f>IF(F12+F15=0,0,F12/(F12+F15))</f>
        <v>0.75889024603036115</v>
      </c>
      <c r="G13" s="250">
        <f>IF(G12+G15=0,0,G12/(G12+G15))</f>
        <v>0.75889024603036115</v>
      </c>
      <c r="H13" s="251"/>
    </row>
    <row r="14" spans="1:8" s="248" customFormat="1" ht="17.25" customHeight="1">
      <c r="A14" s="187">
        <v>3</v>
      </c>
      <c r="B14" s="769" t="s">
        <v>74</v>
      </c>
      <c r="C14" s="770"/>
      <c r="D14" s="771"/>
      <c r="E14" s="246" t="s">
        <v>7</v>
      </c>
      <c r="F14" s="656">
        <v>0.05</v>
      </c>
      <c r="G14" s="657">
        <v>0.05</v>
      </c>
      <c r="H14" s="252"/>
    </row>
    <row r="15" spans="1:8" s="248" customFormat="1" ht="15" customHeight="1">
      <c r="A15" s="187">
        <v>4</v>
      </c>
      <c r="B15" s="769" t="s">
        <v>91</v>
      </c>
      <c r="C15" s="770"/>
      <c r="D15" s="771"/>
      <c r="E15" s="246" t="s">
        <v>73</v>
      </c>
      <c r="F15" s="253">
        <f>SUM(F16:F17)</f>
        <v>13818</v>
      </c>
      <c r="G15" s="254">
        <f>SUM(G16:G17)</f>
        <v>13818</v>
      </c>
      <c r="H15" s="247"/>
    </row>
    <row r="16" spans="1:8" s="248" customFormat="1" ht="15" customHeight="1">
      <c r="A16" s="187"/>
      <c r="B16" s="769" t="s">
        <v>89</v>
      </c>
      <c r="C16" s="770"/>
      <c r="D16" s="771"/>
      <c r="E16" s="246" t="s">
        <v>73</v>
      </c>
      <c r="F16" s="684"/>
      <c r="G16" s="685"/>
      <c r="H16" s="247"/>
    </row>
    <row r="17" spans="1:8" s="248" customFormat="1" ht="15">
      <c r="A17" s="187"/>
      <c r="B17" s="769" t="s">
        <v>90</v>
      </c>
      <c r="C17" s="770"/>
      <c r="D17" s="771"/>
      <c r="E17" s="246" t="s">
        <v>73</v>
      </c>
      <c r="F17" s="684">
        <v>13818</v>
      </c>
      <c r="G17" s="685">
        <v>13818</v>
      </c>
      <c r="H17" s="247"/>
    </row>
    <row r="18" spans="1:8" s="248" customFormat="1" ht="15" customHeight="1">
      <c r="A18" s="187">
        <v>5</v>
      </c>
      <c r="B18" s="769" t="s">
        <v>93</v>
      </c>
      <c r="C18" s="770"/>
      <c r="D18" s="771"/>
      <c r="E18" s="246" t="s">
        <v>7</v>
      </c>
      <c r="F18" s="249">
        <f>IF(F12+F15=0,0,F15/(F12+F15))</f>
        <v>0.2411097539696388</v>
      </c>
      <c r="G18" s="250">
        <f>IF(G12+G15=0,0,G15/(G12+G15))</f>
        <v>0.2411097539696388</v>
      </c>
      <c r="H18" s="251"/>
    </row>
    <row r="19" spans="1:8" s="248" customFormat="1" ht="30" customHeight="1">
      <c r="A19" s="187">
        <v>6</v>
      </c>
      <c r="B19" s="769" t="s">
        <v>75</v>
      </c>
      <c r="C19" s="770"/>
      <c r="D19" s="771"/>
      <c r="E19" s="246" t="s">
        <v>7</v>
      </c>
      <c r="F19" s="513">
        <v>0.1091</v>
      </c>
      <c r="G19" s="513">
        <v>0.1091</v>
      </c>
      <c r="H19" s="252"/>
    </row>
    <row r="20" spans="1:8" s="248" customFormat="1" ht="15">
      <c r="A20" s="187">
        <v>7</v>
      </c>
      <c r="B20" s="769" t="s">
        <v>76</v>
      </c>
      <c r="C20" s="770"/>
      <c r="D20" s="771"/>
      <c r="E20" s="246" t="s">
        <v>7</v>
      </c>
      <c r="F20" s="71">
        <v>0.1</v>
      </c>
      <c r="G20" s="513">
        <v>0.1</v>
      </c>
      <c r="H20" s="255"/>
    </row>
    <row r="21" spans="1:8" ht="13.5" thickBot="1">
      <c r="A21" s="256">
        <v>8</v>
      </c>
      <c r="B21" s="787" t="s">
        <v>77</v>
      </c>
      <c r="C21" s="788"/>
      <c r="D21" s="789"/>
      <c r="E21" s="257" t="s">
        <v>7</v>
      </c>
      <c r="F21" s="258">
        <f>ROUND(F19*F18+F14*F13*(F20/(1-F20)+1),4)</f>
        <v>6.8500000000000005E-2</v>
      </c>
      <c r="G21" s="259">
        <f>ROUND(G19*G18+G14*G13*(G20/(1-G20)+1),4)</f>
        <v>6.8500000000000005E-2</v>
      </c>
      <c r="H21" s="260"/>
    </row>
    <row r="22" spans="1:8" ht="13.5" thickTop="1"/>
    <row r="23" spans="1:8"/>
    <row r="24" spans="1:8">
      <c r="B24" s="784" t="s">
        <v>777</v>
      </c>
      <c r="C24" s="784"/>
      <c r="D24" s="784"/>
      <c r="E24" s="784"/>
    </row>
    <row r="25" spans="1:8" ht="13.5" thickBot="1">
      <c r="B25" s="261"/>
      <c r="C25" s="261"/>
      <c r="D25" s="261"/>
      <c r="E25" s="261"/>
    </row>
    <row r="26" spans="1:8" ht="26.25" customHeight="1" thickTop="1">
      <c r="A26" s="778" t="s">
        <v>0</v>
      </c>
      <c r="B26" s="780" t="s">
        <v>277</v>
      </c>
      <c r="C26" s="780" t="s">
        <v>442</v>
      </c>
      <c r="D26" s="780" t="s">
        <v>440</v>
      </c>
      <c r="E26" s="785" t="s">
        <v>441</v>
      </c>
      <c r="F26" s="262" t="s">
        <v>279</v>
      </c>
      <c r="G26" s="514" t="s">
        <v>702</v>
      </c>
    </row>
    <row r="27" spans="1:8" ht="26.25" customHeight="1">
      <c r="A27" s="779"/>
      <c r="B27" s="781"/>
      <c r="C27" s="781"/>
      <c r="D27" s="781"/>
      <c r="E27" s="786"/>
      <c r="F27" s="264" t="str">
        <f>'ТИП-ПРОИЗ'!$E$5</f>
        <v>ОТЧЕТ</v>
      </c>
      <c r="G27" s="519" t="str">
        <f>G10</f>
        <v>Към 31.12.2021 г.</v>
      </c>
    </row>
    <row r="28" spans="1:8" ht="12.75" customHeight="1">
      <c r="A28" s="263">
        <v>4</v>
      </c>
      <c r="B28" s="265" t="s">
        <v>282</v>
      </c>
      <c r="C28" s="266">
        <f>SUM(C29,C34)</f>
        <v>14546</v>
      </c>
      <c r="D28" s="266"/>
      <c r="E28" s="267">
        <f>IF(C28=0,0,SUM(C29*E29,C34*E34)/C28)</f>
        <v>0.10909999999999999</v>
      </c>
      <c r="F28" s="268">
        <f>SUM(F29,F34)</f>
        <v>728</v>
      </c>
      <c r="G28" s="515">
        <f>SUM(G29,G34)</f>
        <v>13818</v>
      </c>
    </row>
    <row r="29" spans="1:8">
      <c r="A29" s="178" t="s">
        <v>251</v>
      </c>
      <c r="B29" s="269" t="s">
        <v>280</v>
      </c>
      <c r="C29" s="270">
        <f>SUM(C30:C33)</f>
        <v>0</v>
      </c>
      <c r="D29" s="270"/>
      <c r="E29" s="267">
        <f>ROUND(IF(C29=0,0,SUMPRODUCT(C30:C33,E30:E33)/C29),4)</f>
        <v>0</v>
      </c>
      <c r="F29" s="271">
        <f>SUM(F30:F33)</f>
        <v>0</v>
      </c>
      <c r="G29" s="272">
        <f>SUM(G30:G33)</f>
        <v>0</v>
      </c>
    </row>
    <row r="30" spans="1:8">
      <c r="A30" s="187"/>
      <c r="B30" s="702" t="s">
        <v>278</v>
      </c>
      <c r="C30" s="48"/>
      <c r="D30" s="48"/>
      <c r="E30" s="49"/>
      <c r="F30" s="48"/>
      <c r="G30" s="516">
        <f>SUM(C30,-F30)</f>
        <v>0</v>
      </c>
    </row>
    <row r="31" spans="1:8" ht="15" customHeight="1">
      <c r="A31" s="187"/>
      <c r="B31" s="702" t="s">
        <v>278</v>
      </c>
      <c r="C31" s="48"/>
      <c r="D31" s="48"/>
      <c r="E31" s="49"/>
      <c r="F31" s="48"/>
      <c r="G31" s="516">
        <f>SUM(C31,-F31)</f>
        <v>0</v>
      </c>
    </row>
    <row r="32" spans="1:8" ht="15" customHeight="1">
      <c r="A32" s="187"/>
      <c r="B32" s="702" t="s">
        <v>278</v>
      </c>
      <c r="C32" s="48"/>
      <c r="D32" s="48"/>
      <c r="E32" s="49"/>
      <c r="F32" s="48"/>
      <c r="G32" s="516">
        <f>SUM(C32,-F32)</f>
        <v>0</v>
      </c>
    </row>
    <row r="33" spans="1:10" ht="15" customHeight="1">
      <c r="A33" s="187"/>
      <c r="B33" s="199" t="s">
        <v>278</v>
      </c>
      <c r="C33" s="48"/>
      <c r="D33" s="48"/>
      <c r="E33" s="49"/>
      <c r="F33" s="48"/>
      <c r="G33" s="516">
        <f>SUM(C33,-F33)</f>
        <v>0</v>
      </c>
    </row>
    <row r="34" spans="1:10" ht="12.75" customHeight="1">
      <c r="A34" s="178" t="s">
        <v>252</v>
      </c>
      <c r="B34" s="273" t="s">
        <v>281</v>
      </c>
      <c r="C34" s="274">
        <f>SUM(C35:C43)</f>
        <v>14546</v>
      </c>
      <c r="D34" s="274"/>
      <c r="E34" s="267">
        <f>ROUND(IF(C34=0,0,SUMPRODUCT(C35:C43,E35:E43)/C34),4)</f>
        <v>0.1091</v>
      </c>
      <c r="F34" s="271">
        <f>SUM(F35:F43)</f>
        <v>728</v>
      </c>
      <c r="G34" s="272">
        <f>SUM(G35:G43)</f>
        <v>13818</v>
      </c>
    </row>
    <row r="35" spans="1:10">
      <c r="A35" s="187"/>
      <c r="B35" s="691" t="s">
        <v>771</v>
      </c>
      <c r="C35" s="48">
        <v>10638</v>
      </c>
      <c r="D35" s="654" t="s">
        <v>761</v>
      </c>
      <c r="E35" s="49">
        <v>0.1091</v>
      </c>
      <c r="F35" s="48">
        <v>541</v>
      </c>
      <c r="G35" s="516">
        <f t="shared" ref="G35:G43" si="0">SUM(C35,-F35)</f>
        <v>10097</v>
      </c>
    </row>
    <row r="36" spans="1:10">
      <c r="A36" s="187"/>
      <c r="B36" s="691" t="s">
        <v>772</v>
      </c>
      <c r="C36" s="48">
        <v>3908</v>
      </c>
      <c r="D36" s="654" t="s">
        <v>761</v>
      </c>
      <c r="E36" s="49">
        <v>0.1091</v>
      </c>
      <c r="F36" s="48">
        <v>187</v>
      </c>
      <c r="G36" s="516">
        <f t="shared" si="0"/>
        <v>3721</v>
      </c>
    </row>
    <row r="37" spans="1:10">
      <c r="A37" s="187"/>
      <c r="B37" s="199" t="s">
        <v>278</v>
      </c>
      <c r="C37" s="48"/>
      <c r="D37" s="48"/>
      <c r="E37" s="49"/>
      <c r="F37" s="48"/>
      <c r="G37" s="516">
        <f t="shared" si="0"/>
        <v>0</v>
      </c>
    </row>
    <row r="38" spans="1:10">
      <c r="A38" s="187"/>
      <c r="B38" s="199" t="s">
        <v>278</v>
      </c>
      <c r="C38" s="48"/>
      <c r="D38" s="48"/>
      <c r="E38" s="49"/>
      <c r="F38" s="48"/>
      <c r="G38" s="516">
        <f t="shared" si="0"/>
        <v>0</v>
      </c>
    </row>
    <row r="39" spans="1:10">
      <c r="A39" s="187"/>
      <c r="B39" s="199" t="s">
        <v>278</v>
      </c>
      <c r="C39" s="48"/>
      <c r="D39" s="48"/>
      <c r="E39" s="49"/>
      <c r="F39" s="48"/>
      <c r="G39" s="516">
        <f t="shared" si="0"/>
        <v>0</v>
      </c>
    </row>
    <row r="40" spans="1:10">
      <c r="A40" s="187"/>
      <c r="B40" s="199" t="s">
        <v>278</v>
      </c>
      <c r="C40" s="48"/>
      <c r="D40" s="48"/>
      <c r="E40" s="49"/>
      <c r="F40" s="48"/>
      <c r="G40" s="516">
        <f t="shared" si="0"/>
        <v>0</v>
      </c>
    </row>
    <row r="41" spans="1:10">
      <c r="A41" s="187"/>
      <c r="B41" s="199" t="s">
        <v>278</v>
      </c>
      <c r="C41" s="48"/>
      <c r="D41" s="48"/>
      <c r="E41" s="49"/>
      <c r="F41" s="48"/>
      <c r="G41" s="516">
        <f t="shared" si="0"/>
        <v>0</v>
      </c>
    </row>
    <row r="42" spans="1:10">
      <c r="A42" s="187"/>
      <c r="B42" s="199" t="s">
        <v>278</v>
      </c>
      <c r="C42" s="48"/>
      <c r="D42" s="48"/>
      <c r="E42" s="49"/>
      <c r="F42" s="48"/>
      <c r="G42" s="516">
        <f t="shared" si="0"/>
        <v>0</v>
      </c>
    </row>
    <row r="43" spans="1:10" ht="13.5" thickBot="1">
      <c r="A43" s="275"/>
      <c r="B43" s="276" t="s">
        <v>278</v>
      </c>
      <c r="C43" s="50"/>
      <c r="D43" s="50"/>
      <c r="E43" s="51"/>
      <c r="F43" s="50"/>
      <c r="G43" s="517">
        <f t="shared" si="0"/>
        <v>0</v>
      </c>
    </row>
    <row r="44" spans="1:10" ht="13.5" thickTop="1">
      <c r="H44" s="134"/>
      <c r="I44" s="134"/>
    </row>
    <row r="45" spans="1:10" ht="15">
      <c r="A45" s="277" t="s">
        <v>98</v>
      </c>
      <c r="B45" s="278"/>
      <c r="C45" s="131"/>
      <c r="D45" s="131"/>
      <c r="E45" s="105"/>
      <c r="F45" s="105"/>
      <c r="G45" s="105"/>
      <c r="H45" s="104"/>
      <c r="I45" s="104"/>
      <c r="J45" s="104"/>
    </row>
    <row r="46" spans="1:10" ht="15">
      <c r="A46" s="279" t="s">
        <v>179</v>
      </c>
      <c r="B46" s="783" t="s">
        <v>324</v>
      </c>
      <c r="C46" s="783"/>
      <c r="D46" s="783"/>
      <c r="E46" s="783"/>
      <c r="F46" s="783"/>
      <c r="G46" s="783"/>
      <c r="H46" s="281"/>
      <c r="I46" s="281"/>
      <c r="J46" s="281"/>
    </row>
    <row r="47" spans="1:10" ht="15">
      <c r="A47" s="279"/>
      <c r="B47" s="280"/>
      <c r="C47" s="280"/>
      <c r="D47" s="280"/>
      <c r="E47" s="280"/>
      <c r="F47" s="280"/>
      <c r="G47" s="280"/>
      <c r="H47" s="281"/>
      <c r="I47" s="281"/>
      <c r="J47" s="281"/>
    </row>
    <row r="48" spans="1:10" ht="15">
      <c r="A48" s="279"/>
      <c r="B48" s="280"/>
      <c r="C48" s="280"/>
      <c r="D48" s="280"/>
      <c r="E48" s="280"/>
      <c r="F48" s="280"/>
      <c r="G48" s="280"/>
      <c r="H48" s="281"/>
      <c r="I48" s="281"/>
      <c r="J48" s="281"/>
    </row>
    <row r="49" spans="1:10" ht="15">
      <c r="A49" s="279"/>
      <c r="B49" s="280"/>
      <c r="C49" s="280"/>
      <c r="D49" s="280"/>
      <c r="E49" s="280"/>
      <c r="F49" s="280"/>
      <c r="G49" s="280"/>
      <c r="H49" s="281"/>
      <c r="I49" s="281"/>
      <c r="J49" s="281"/>
    </row>
    <row r="50" spans="1:10" ht="15">
      <c r="A50" s="279"/>
      <c r="B50" s="280"/>
      <c r="C50" s="280"/>
      <c r="D50" s="280"/>
      <c r="E50" s="280"/>
      <c r="F50" s="280"/>
      <c r="G50" s="280"/>
      <c r="H50" s="281"/>
      <c r="I50" s="281"/>
      <c r="J50" s="281"/>
    </row>
    <row r="51" spans="1:10"/>
    <row r="52" spans="1:10" ht="15.75">
      <c r="A52" s="131" t="str">
        <f>Разходи!$A$91</f>
        <v>Гл. счетоводител:</v>
      </c>
      <c r="B52" s="282"/>
      <c r="C52" s="282"/>
      <c r="D52" s="282"/>
      <c r="E52" s="133" t="str">
        <f>Разходи!$E$91</f>
        <v>Изп. директор:</v>
      </c>
    </row>
    <row r="53" spans="1:10"/>
    <row r="54" spans="1:10">
      <c r="A54" s="131"/>
      <c r="B54" s="283" t="str">
        <f>Разходи!$B$93</f>
        <v>/ П.Маринова/</v>
      </c>
      <c r="C54" s="283"/>
      <c r="D54" s="283"/>
      <c r="E54" s="104"/>
      <c r="F54" s="782" t="str">
        <f>Разходи!$F$93</f>
        <v>/ Янилин Павлов /</v>
      </c>
      <c r="G54" s="782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30:G31 G35:G43 G3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workbookViewId="0">
      <pane ySplit="7" topLeftCell="A110" activePane="bottomLeft" state="frozen"/>
      <selection pane="bottomLeft" activeCell="F133" sqref="F133"/>
    </sheetView>
  </sheetViews>
  <sheetFormatPr defaultColWidth="0" defaultRowHeight="12.75" zeroHeight="1"/>
  <cols>
    <col min="1" max="1" width="10.140625" style="105" customWidth="1"/>
    <col min="2" max="2" width="75.42578125" style="131" customWidth="1"/>
    <col min="3" max="3" width="10.5703125" style="105" customWidth="1"/>
    <col min="4" max="4" width="10" style="105" customWidth="1"/>
    <col min="5" max="5" width="15.5703125" style="131" customWidth="1"/>
    <col min="6" max="6" width="15.140625" style="131" customWidth="1"/>
    <col min="7" max="7" width="15.5703125" style="131" customWidth="1"/>
    <col min="8" max="16384" width="0" style="131" hidden="1"/>
  </cols>
  <sheetData>
    <row r="1" spans="1:7" ht="18.75">
      <c r="A1" s="151"/>
      <c r="B1" s="791">
        <v>4</v>
      </c>
      <c r="C1" s="791"/>
      <c r="D1" s="332"/>
      <c r="E1" s="333"/>
      <c r="F1" s="132" t="s">
        <v>683</v>
      </c>
    </row>
    <row r="2" spans="1:7">
      <c r="A2" s="151"/>
      <c r="B2" s="792" t="s">
        <v>218</v>
      </c>
      <c r="C2" s="792"/>
      <c r="D2" s="151"/>
      <c r="E2" s="334"/>
      <c r="F2" s="334"/>
    </row>
    <row r="3" spans="1:7">
      <c r="A3" s="151"/>
      <c r="B3" s="82" t="s">
        <v>767</v>
      </c>
      <c r="C3" s="151"/>
      <c r="D3" s="151"/>
      <c r="E3" s="334"/>
      <c r="F3"/>
    </row>
    <row r="4" spans="1:7" ht="12.75" customHeight="1" thickBot="1">
      <c r="B4" s="335"/>
      <c r="C4" s="336"/>
      <c r="F4" s="206"/>
    </row>
    <row r="5" spans="1:7" ht="32.25" customHeight="1" thickTop="1">
      <c r="A5" s="797" t="s">
        <v>0</v>
      </c>
      <c r="B5" s="799">
        <v>2020</v>
      </c>
      <c r="C5" s="793" t="s">
        <v>42</v>
      </c>
      <c r="D5" s="795" t="s">
        <v>14</v>
      </c>
      <c r="E5" s="339" t="s">
        <v>333</v>
      </c>
      <c r="F5" s="692" t="s">
        <v>753</v>
      </c>
    </row>
    <row r="6" spans="1:7" ht="15.75">
      <c r="A6" s="798"/>
      <c r="B6" s="800"/>
      <c r="C6" s="794"/>
      <c r="D6" s="796"/>
      <c r="E6" s="341">
        <f>($B$5-0.0002)*1</f>
        <v>2019.9998000000001</v>
      </c>
      <c r="F6" s="693">
        <f>$B$5</f>
        <v>2020</v>
      </c>
    </row>
    <row r="7" spans="1:7">
      <c r="A7" s="342">
        <v>1</v>
      </c>
      <c r="B7" s="343">
        <v>2</v>
      </c>
      <c r="C7" s="344">
        <v>3</v>
      </c>
      <c r="D7" s="344">
        <v>4</v>
      </c>
      <c r="E7" s="345">
        <v>5</v>
      </c>
      <c r="F7" s="520">
        <v>6</v>
      </c>
    </row>
    <row r="8" spans="1:7" s="201" customFormat="1" ht="15" customHeight="1">
      <c r="A8" s="376">
        <v>1</v>
      </c>
      <c r="B8" s="346" t="s">
        <v>535</v>
      </c>
      <c r="C8" s="347" t="s">
        <v>221</v>
      </c>
      <c r="D8" s="106" t="s">
        <v>70</v>
      </c>
      <c r="E8" s="348">
        <f>SUM(E9:E10)</f>
        <v>1574894.6770000001</v>
      </c>
      <c r="F8" s="429">
        <f>SUM(F9:F10)</f>
        <v>1505892.2930000001</v>
      </c>
      <c r="G8" s="131"/>
    </row>
    <row r="9" spans="1:7" s="201" customFormat="1" ht="15.75">
      <c r="A9" s="360" t="s">
        <v>256</v>
      </c>
      <c r="B9" s="350" t="s">
        <v>536</v>
      </c>
      <c r="C9" s="347" t="s">
        <v>474</v>
      </c>
      <c r="D9" s="106" t="s">
        <v>70</v>
      </c>
      <c r="E9" s="351">
        <f>SUM(E12,'ТИП-ПРЕНОС'!D12)</f>
        <v>18501.823</v>
      </c>
      <c r="F9" s="430">
        <f>SUM(F12,'ТИП-ПРЕНОС'!E12)</f>
        <v>18501.823</v>
      </c>
      <c r="G9" s="678"/>
    </row>
    <row r="10" spans="1:7" s="201" customFormat="1" ht="15.75">
      <c r="A10" s="360" t="s">
        <v>257</v>
      </c>
      <c r="B10" s="350" t="s">
        <v>537</v>
      </c>
      <c r="C10" s="347" t="s">
        <v>475</v>
      </c>
      <c r="D10" s="106" t="s">
        <v>70</v>
      </c>
      <c r="E10" s="351">
        <f>SUM(E13,'ТИП-ПРЕНОС'!D33)</f>
        <v>1556392.8540000001</v>
      </c>
      <c r="F10" s="430">
        <f>SUM(F13,'ТИП-ПРЕНОС'!E33)</f>
        <v>1487390.47</v>
      </c>
      <c r="G10" s="678"/>
    </row>
    <row r="11" spans="1:7" s="201" customFormat="1" ht="15.75">
      <c r="A11" s="376">
        <v>2</v>
      </c>
      <c r="B11" s="352" t="s">
        <v>506</v>
      </c>
      <c r="C11" s="347" t="s">
        <v>398</v>
      </c>
      <c r="D11" s="106" t="s">
        <v>70</v>
      </c>
      <c r="E11" s="353">
        <f>SUM(E12:E13)</f>
        <v>1556392.8540000001</v>
      </c>
      <c r="F11" s="431">
        <f>SUM(F12:F13)</f>
        <v>1487390.47</v>
      </c>
      <c r="G11" s="678"/>
    </row>
    <row r="12" spans="1:7" s="201" customFormat="1" ht="15.75">
      <c r="A12" s="376" t="s">
        <v>272</v>
      </c>
      <c r="B12" s="350" t="s">
        <v>20</v>
      </c>
      <c r="C12" s="347" t="s">
        <v>476</v>
      </c>
      <c r="D12" s="106" t="s">
        <v>70</v>
      </c>
      <c r="E12" s="89"/>
      <c r="F12" s="432"/>
      <c r="G12" s="678"/>
    </row>
    <row r="13" spans="1:7" s="201" customFormat="1" ht="15.75">
      <c r="A13" s="376" t="s">
        <v>273</v>
      </c>
      <c r="B13" s="350" t="s">
        <v>222</v>
      </c>
      <c r="C13" s="347" t="s">
        <v>477</v>
      </c>
      <c r="D13" s="106" t="s">
        <v>70</v>
      </c>
      <c r="E13" s="89">
        <v>1556392.8540000001</v>
      </c>
      <c r="F13" s="432">
        <v>1487390.47</v>
      </c>
      <c r="G13" s="678"/>
    </row>
    <row r="14" spans="1:7" s="201" customFormat="1" ht="15.75">
      <c r="A14" s="376">
        <v>3</v>
      </c>
      <c r="B14" s="352" t="s">
        <v>192</v>
      </c>
      <c r="C14" s="347" t="s">
        <v>398</v>
      </c>
      <c r="D14" s="106" t="s">
        <v>70</v>
      </c>
      <c r="E14" s="354">
        <f>SUM(E15:E16)</f>
        <v>176844.323</v>
      </c>
      <c r="F14" s="433">
        <f>SUM(F15:F16)</f>
        <v>169445.71599999999</v>
      </c>
      <c r="G14" s="678"/>
    </row>
    <row r="15" spans="1:7" s="201" customFormat="1" ht="15.75">
      <c r="A15" s="376" t="s">
        <v>261</v>
      </c>
      <c r="B15" s="350" t="s">
        <v>20</v>
      </c>
      <c r="C15" s="347" t="s">
        <v>476</v>
      </c>
      <c r="D15" s="106" t="s">
        <v>70</v>
      </c>
      <c r="E15" s="83">
        <v>827.53599999999994</v>
      </c>
      <c r="F15" s="423">
        <v>827.53599999999994</v>
      </c>
      <c r="G15" s="678"/>
    </row>
    <row r="16" spans="1:7" s="201" customFormat="1" ht="15.75">
      <c r="A16" s="376" t="s">
        <v>262</v>
      </c>
      <c r="B16" s="350" t="s">
        <v>222</v>
      </c>
      <c r="C16" s="347" t="s">
        <v>477</v>
      </c>
      <c r="D16" s="106" t="s">
        <v>70</v>
      </c>
      <c r="E16" s="83">
        <v>176016.78700000001</v>
      </c>
      <c r="F16" s="423">
        <v>168618.18</v>
      </c>
      <c r="G16" s="678"/>
    </row>
    <row r="17" spans="1:7" s="201" customFormat="1" ht="15.75">
      <c r="A17" s="376">
        <v>4</v>
      </c>
      <c r="B17" s="352" t="s">
        <v>192</v>
      </c>
      <c r="C17" s="347" t="s">
        <v>398</v>
      </c>
      <c r="D17" s="106" t="s">
        <v>7</v>
      </c>
      <c r="E17" s="355">
        <f t="shared" ref="E17:F19" si="0">IF(E20=0,0,E14/E20)</f>
        <v>0.10095357984265921</v>
      </c>
      <c r="F17" s="434">
        <f t="shared" si="0"/>
        <v>0.10114121155834171</v>
      </c>
      <c r="G17" s="678"/>
    </row>
    <row r="18" spans="1:7" s="201" customFormat="1" ht="15.75">
      <c r="A18" s="376" t="s">
        <v>251</v>
      </c>
      <c r="B18" s="350" t="s">
        <v>20</v>
      </c>
      <c r="C18" s="347" t="s">
        <v>476</v>
      </c>
      <c r="D18" s="106" t="s">
        <v>7</v>
      </c>
      <c r="E18" s="355">
        <f>IF(E21=0,0,E15/E21)</f>
        <v>4.2812387105025052E-2</v>
      </c>
      <c r="F18" s="434">
        <f>IF(F21=0,0,F15/F21)</f>
        <v>4.2812387105025052E-2</v>
      </c>
      <c r="G18" s="678"/>
    </row>
    <row r="19" spans="1:7" s="201" customFormat="1" ht="15.75">
      <c r="A19" s="376" t="s">
        <v>252</v>
      </c>
      <c r="B19" s="350" t="s">
        <v>222</v>
      </c>
      <c r="C19" s="347" t="s">
        <v>477</v>
      </c>
      <c r="D19" s="106" t="s">
        <v>7</v>
      </c>
      <c r="E19" s="355">
        <f t="shared" si="0"/>
        <v>0.10160229014795699</v>
      </c>
      <c r="F19" s="434">
        <f t="shared" si="0"/>
        <v>0.10182204060347148</v>
      </c>
      <c r="G19" s="678"/>
    </row>
    <row r="20" spans="1:7" ht="15.75">
      <c r="A20" s="360">
        <v>5</v>
      </c>
      <c r="B20" s="352" t="s">
        <v>539</v>
      </c>
      <c r="C20" s="106" t="s">
        <v>220</v>
      </c>
      <c r="D20" s="106" t="s">
        <v>70</v>
      </c>
      <c r="E20" s="348">
        <f>SUM(E21:E22)</f>
        <v>1751739</v>
      </c>
      <c r="F20" s="429">
        <f>SUM(F21:F22)</f>
        <v>1675338.0089999998</v>
      </c>
      <c r="G20" s="678"/>
    </row>
    <row r="21" spans="1:7" ht="15.75">
      <c r="A21" s="360" t="s">
        <v>263</v>
      </c>
      <c r="B21" s="350" t="s">
        <v>20</v>
      </c>
      <c r="C21" s="106" t="s">
        <v>344</v>
      </c>
      <c r="D21" s="106" t="s">
        <v>70</v>
      </c>
      <c r="E21" s="356">
        <f>SUM(E9,E15)</f>
        <v>19329.359</v>
      </c>
      <c r="F21" s="435">
        <f>SUM(F9,F15)</f>
        <v>19329.359</v>
      </c>
      <c r="G21" s="678"/>
    </row>
    <row r="22" spans="1:7" ht="16.5" thickBot="1">
      <c r="A22" s="360" t="s">
        <v>264</v>
      </c>
      <c r="B22" s="350" t="s">
        <v>222</v>
      </c>
      <c r="C22" s="106" t="s">
        <v>345</v>
      </c>
      <c r="D22" s="106" t="s">
        <v>70</v>
      </c>
      <c r="E22" s="356">
        <f>SUM(E10,E16)</f>
        <v>1732409.6410000001</v>
      </c>
      <c r="F22" s="435">
        <f>SUM(F10,F16)</f>
        <v>1656008.65</v>
      </c>
      <c r="G22" s="678"/>
    </row>
    <row r="23" spans="1:7" ht="13.5" thickTop="1">
      <c r="A23" s="337"/>
      <c r="B23" s="357" t="s">
        <v>465</v>
      </c>
      <c r="C23" s="338" t="s">
        <v>42</v>
      </c>
      <c r="D23" s="338" t="s">
        <v>14</v>
      </c>
      <c r="E23" s="358"/>
      <c r="F23" s="359"/>
      <c r="G23" s="678"/>
    </row>
    <row r="24" spans="1:7" ht="15.75">
      <c r="A24" s="360">
        <v>6</v>
      </c>
      <c r="B24" s="352" t="s">
        <v>470</v>
      </c>
      <c r="C24" s="106" t="s">
        <v>739</v>
      </c>
      <c r="D24" s="110" t="s">
        <v>70</v>
      </c>
      <c r="E24" s="361">
        <f>SUM(E25:E26)</f>
        <v>1751739</v>
      </c>
      <c r="F24" s="362">
        <f>SUM(F25:F26)</f>
        <v>1675338</v>
      </c>
      <c r="G24" s="678"/>
    </row>
    <row r="25" spans="1:7" ht="15.75">
      <c r="A25" s="360" t="s">
        <v>501</v>
      </c>
      <c r="B25" s="350" t="s">
        <v>20</v>
      </c>
      <c r="C25" s="106" t="s">
        <v>467</v>
      </c>
      <c r="D25" s="110" t="s">
        <v>70</v>
      </c>
      <c r="E25" s="422">
        <v>19329.359</v>
      </c>
      <c r="F25" s="423">
        <v>19329.359</v>
      </c>
      <c r="G25" s="678"/>
    </row>
    <row r="26" spans="1:7" ht="15.75">
      <c r="A26" s="360" t="s">
        <v>502</v>
      </c>
      <c r="B26" s="350" t="s">
        <v>222</v>
      </c>
      <c r="C26" s="106" t="s">
        <v>466</v>
      </c>
      <c r="D26" s="110" t="s">
        <v>70</v>
      </c>
      <c r="E26" s="422">
        <v>1732409.6410000001</v>
      </c>
      <c r="F26" s="423">
        <v>1656008.6410000001</v>
      </c>
      <c r="G26" s="678"/>
    </row>
    <row r="27" spans="1:7" ht="15.75">
      <c r="A27" s="360">
        <v>7</v>
      </c>
      <c r="B27" s="363" t="s">
        <v>190</v>
      </c>
      <c r="C27" s="349" t="s">
        <v>15</v>
      </c>
      <c r="D27" s="349" t="s">
        <v>70</v>
      </c>
      <c r="E27" s="87">
        <v>591279.94900000002</v>
      </c>
      <c r="F27" s="436">
        <v>579474.098</v>
      </c>
      <c r="G27" s="678"/>
    </row>
    <row r="28" spans="1:7">
      <c r="A28" s="360" t="s">
        <v>507</v>
      </c>
      <c r="B28" s="364" t="s">
        <v>411</v>
      </c>
      <c r="C28" s="349" t="s">
        <v>412</v>
      </c>
      <c r="D28" s="349" t="s">
        <v>70</v>
      </c>
      <c r="E28" s="83"/>
      <c r="F28" s="423"/>
      <c r="G28" s="678"/>
    </row>
    <row r="29" spans="1:7">
      <c r="A29" s="360" t="s">
        <v>508</v>
      </c>
      <c r="B29" s="364" t="s">
        <v>347</v>
      </c>
      <c r="C29" s="349" t="s">
        <v>346</v>
      </c>
      <c r="D29" s="349" t="s">
        <v>70</v>
      </c>
      <c r="E29" s="356">
        <f>SUM(E27,-E30)</f>
        <v>591279.94900000002</v>
      </c>
      <c r="F29" s="435">
        <f>SUM(F27,-F30)</f>
        <v>579474.098</v>
      </c>
      <c r="G29" s="678"/>
    </row>
    <row r="30" spans="1:7">
      <c r="A30" s="360" t="s">
        <v>509</v>
      </c>
      <c r="B30" s="364" t="s">
        <v>624</v>
      </c>
      <c r="C30" s="349" t="s">
        <v>489</v>
      </c>
      <c r="D30" s="349" t="s">
        <v>70</v>
      </c>
      <c r="E30" s="83"/>
      <c r="F30" s="423"/>
      <c r="G30" s="678"/>
    </row>
    <row r="31" spans="1:7" ht="14.25">
      <c r="A31" s="360">
        <v>8</v>
      </c>
      <c r="B31" s="365" t="s">
        <v>495</v>
      </c>
      <c r="C31" s="349" t="s">
        <v>419</v>
      </c>
      <c r="D31" s="349" t="s">
        <v>375</v>
      </c>
      <c r="E31" s="351">
        <f>E32*860/7000</f>
        <v>336321.90537999995</v>
      </c>
      <c r="F31" s="430">
        <f>F32*860/7000</f>
        <v>323603.48700857139</v>
      </c>
      <c r="G31" s="678"/>
    </row>
    <row r="32" spans="1:7" ht="15.75">
      <c r="A32" s="360">
        <v>9</v>
      </c>
      <c r="B32" s="365" t="s">
        <v>493</v>
      </c>
      <c r="C32" s="349" t="s">
        <v>728</v>
      </c>
      <c r="D32" s="106" t="s">
        <v>70</v>
      </c>
      <c r="E32" s="354">
        <f>ROUND(SUMPRODUCT(E33:E37,E$75:E$79)/860,3)</f>
        <v>2737503.8810000001</v>
      </c>
      <c r="F32" s="433">
        <f>ROUND(SUMPRODUCT(F33:F37,F$75:F$79)/860,3)</f>
        <v>2633981.8709999998</v>
      </c>
      <c r="G32" s="678"/>
    </row>
    <row r="33" spans="1:7" ht="15.75">
      <c r="A33" s="360" t="s">
        <v>510</v>
      </c>
      <c r="B33" s="207" t="s">
        <v>9</v>
      </c>
      <c r="C33" s="106" t="s">
        <v>21</v>
      </c>
      <c r="D33" s="106" t="s">
        <v>373</v>
      </c>
      <c r="E33" s="83"/>
      <c r="F33" s="423"/>
      <c r="G33" s="679"/>
    </row>
    <row r="34" spans="1:7">
      <c r="A34" s="360" t="s">
        <v>511</v>
      </c>
      <c r="B34" s="207" t="s">
        <v>10</v>
      </c>
      <c r="C34" s="106" t="s">
        <v>22</v>
      </c>
      <c r="D34" s="106" t="s">
        <v>23</v>
      </c>
      <c r="E34" s="83">
        <v>1229.2</v>
      </c>
      <c r="F34" s="423">
        <v>1229.2</v>
      </c>
      <c r="G34" s="678"/>
    </row>
    <row r="35" spans="1:7">
      <c r="A35" s="360" t="s">
        <v>512</v>
      </c>
      <c r="B35" s="207" t="s">
        <v>12</v>
      </c>
      <c r="C35" s="106" t="s">
        <v>24</v>
      </c>
      <c r="D35" s="106" t="s">
        <v>23</v>
      </c>
      <c r="E35" s="83"/>
      <c r="F35" s="423"/>
      <c r="G35" s="678"/>
    </row>
    <row r="36" spans="1:7">
      <c r="A36" s="360" t="s">
        <v>513</v>
      </c>
      <c r="B36" s="207" t="s">
        <v>11</v>
      </c>
      <c r="C36" s="106" t="s">
        <v>25</v>
      </c>
      <c r="D36" s="106" t="s">
        <v>23</v>
      </c>
      <c r="E36" s="83">
        <v>939869.91</v>
      </c>
      <c r="F36" s="423">
        <v>903834.21</v>
      </c>
      <c r="G36" s="686"/>
    </row>
    <row r="37" spans="1:7" ht="15.75">
      <c r="A37" s="360" t="s">
        <v>514</v>
      </c>
      <c r="B37" s="428" t="s">
        <v>370</v>
      </c>
      <c r="C37" s="106" t="s">
        <v>416</v>
      </c>
      <c r="D37" s="106" t="s">
        <v>432</v>
      </c>
      <c r="E37" s="83"/>
      <c r="F37" s="423"/>
      <c r="G37" s="679"/>
    </row>
    <row r="38" spans="1:7" ht="14.25">
      <c r="A38" s="360">
        <v>10</v>
      </c>
      <c r="B38" s="368">
        <f>B93</f>
        <v>0.6</v>
      </c>
      <c r="C38" s="349" t="s">
        <v>505</v>
      </c>
      <c r="D38" s="349" t="s">
        <v>350</v>
      </c>
      <c r="E38" s="644">
        <f>E33*E$80/860*3.6*(1-Коефициенти!E22)</f>
        <v>0</v>
      </c>
      <c r="F38" s="644">
        <f>F33*F$80/860*3.6*(1-Коефициенти!F22)</f>
        <v>0</v>
      </c>
      <c r="G38" s="678"/>
    </row>
    <row r="39" spans="1:7" ht="14.25">
      <c r="A39" s="360">
        <v>11</v>
      </c>
      <c r="B39" s="369">
        <f>B94</f>
        <v>0.6</v>
      </c>
      <c r="C39" s="349" t="s">
        <v>421</v>
      </c>
      <c r="D39" s="349" t="s">
        <v>350</v>
      </c>
      <c r="E39" s="356">
        <f>E36*E$83/860*3.6*(1-Коефициенти!E22)</f>
        <v>6551526.8761639791</v>
      </c>
      <c r="F39" s="435">
        <f>F36*F$83/860*3.6*(1-Коефициенти!F22)</f>
        <v>6300333.7540739402</v>
      </c>
      <c r="G39" s="678"/>
    </row>
    <row r="40" spans="1:7" ht="15.75">
      <c r="A40" s="360">
        <v>12</v>
      </c>
      <c r="B40" s="365" t="s">
        <v>410</v>
      </c>
      <c r="C40" s="370" t="s">
        <v>472</v>
      </c>
      <c r="D40" s="370" t="s">
        <v>7</v>
      </c>
      <c r="E40" s="371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0.20558308273984838</v>
      </c>
      <c r="F40" s="437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0.20923018109088498</v>
      </c>
      <c r="G40" s="678"/>
    </row>
    <row r="41" spans="1:7" ht="15.75">
      <c r="A41" s="360">
        <v>13</v>
      </c>
      <c r="B41" s="118" t="s">
        <v>473</v>
      </c>
      <c r="C41" s="106" t="s">
        <v>481</v>
      </c>
      <c r="D41" s="106" t="s">
        <v>7</v>
      </c>
      <c r="E41" s="372">
        <f>Коефициенти!E19</f>
        <v>0.79129554519890011</v>
      </c>
      <c r="F41" s="701">
        <f>Коефициенти!F19</f>
        <v>0.79171630031313933</v>
      </c>
      <c r="G41" s="678"/>
    </row>
    <row r="42" spans="1:7" ht="15">
      <c r="A42" s="360">
        <v>14</v>
      </c>
      <c r="B42" s="374" t="s">
        <v>534</v>
      </c>
      <c r="C42" s="106" t="s">
        <v>482</v>
      </c>
      <c r="D42" s="110" t="s">
        <v>35</v>
      </c>
      <c r="E42" s="375">
        <f>ROUND(IF(E27=0,0,E31*Коефициенти!E24*1000/E27),2)</f>
        <v>223.37</v>
      </c>
      <c r="F42" s="439">
        <f>ROUND(IF(F27=0,0,F31*Коефициенти!F24*1000/F27),2)</f>
        <v>219.3</v>
      </c>
      <c r="G42" s="678"/>
    </row>
    <row r="43" spans="1:7" ht="16.5" thickBot="1">
      <c r="A43" s="458">
        <v>15</v>
      </c>
      <c r="B43" s="467" t="s">
        <v>193</v>
      </c>
      <c r="C43" s="460" t="s">
        <v>483</v>
      </c>
      <c r="D43" s="468" t="s">
        <v>198</v>
      </c>
      <c r="E43" s="469">
        <f>IF(E24=0,0,ROUND(E31*(1-Коефициенти!E24)*1000/E24,2))</f>
        <v>116.6</v>
      </c>
      <c r="F43" s="470">
        <f>IF(F24=0,0,ROUND(F31*(1-Коефициенти!F24)*1000/F24,2))</f>
        <v>117.3</v>
      </c>
      <c r="G43" s="678"/>
    </row>
    <row r="44" spans="1:7" ht="13.5" thickTop="1">
      <c r="A44" s="463"/>
      <c r="B44" s="464" t="s">
        <v>478</v>
      </c>
      <c r="C44" s="465"/>
      <c r="D44" s="466"/>
      <c r="E44" s="402"/>
      <c r="F44" s="448"/>
      <c r="G44" s="678"/>
    </row>
    <row r="45" spans="1:7" ht="15.75">
      <c r="A45" s="376">
        <v>16</v>
      </c>
      <c r="B45" s="352" t="s">
        <v>479</v>
      </c>
      <c r="C45" s="106" t="s">
        <v>740</v>
      </c>
      <c r="D45" s="377" t="s">
        <v>70</v>
      </c>
      <c r="E45" s="378">
        <f>SUM(E46:E47)</f>
        <v>0</v>
      </c>
      <c r="F45" s="440">
        <f>SUM(F46:F47)</f>
        <v>8.9999998454004526E-3</v>
      </c>
      <c r="G45" s="678"/>
    </row>
    <row r="46" spans="1:7" ht="15.75">
      <c r="A46" s="376" t="s">
        <v>603</v>
      </c>
      <c r="B46" s="350" t="s">
        <v>20</v>
      </c>
      <c r="C46" s="106" t="s">
        <v>467</v>
      </c>
      <c r="D46" s="377" t="s">
        <v>70</v>
      </c>
      <c r="E46" s="356">
        <f>SUM(E21,-E25)</f>
        <v>0</v>
      </c>
      <c r="F46" s="435">
        <f>SUM(F21,-F25)</f>
        <v>0</v>
      </c>
      <c r="G46" s="678"/>
    </row>
    <row r="47" spans="1:7" ht="15.75">
      <c r="A47" s="376" t="s">
        <v>604</v>
      </c>
      <c r="B47" s="350" t="s">
        <v>222</v>
      </c>
      <c r="C47" s="106" t="s">
        <v>466</v>
      </c>
      <c r="D47" s="377" t="s">
        <v>70</v>
      </c>
      <c r="E47" s="356">
        <f>SUM(E22,-E26)</f>
        <v>0</v>
      </c>
      <c r="F47" s="435">
        <f>SUM(F22,-F26)</f>
        <v>8.9999998454004526E-3</v>
      </c>
      <c r="G47" s="678"/>
    </row>
    <row r="48" spans="1:7">
      <c r="A48" s="376">
        <v>17</v>
      </c>
      <c r="B48" s="365" t="s">
        <v>496</v>
      </c>
      <c r="C48" s="349" t="s">
        <v>468</v>
      </c>
      <c r="D48" s="379" t="s">
        <v>469</v>
      </c>
      <c r="E48" s="351">
        <f>E49*860/7000</f>
        <v>0</v>
      </c>
      <c r="F48" s="430">
        <f>F49*860/7000</f>
        <v>0</v>
      </c>
      <c r="G48" s="678"/>
    </row>
    <row r="49" spans="1:7" ht="15.75">
      <c r="A49" s="360">
        <v>18</v>
      </c>
      <c r="B49" s="365" t="s">
        <v>497</v>
      </c>
      <c r="C49" s="349" t="s">
        <v>729</v>
      </c>
      <c r="D49" s="106" t="s">
        <v>70</v>
      </c>
      <c r="E49" s="354">
        <f>ROUND(SUMPRODUCT(E50:E54,E$75:E$79)/860,3)</f>
        <v>0</v>
      </c>
      <c r="F49" s="433">
        <f>ROUND(SUMPRODUCT(F50:F54,F$75:F$79)/860,3)</f>
        <v>0</v>
      </c>
      <c r="G49" s="678"/>
    </row>
    <row r="50" spans="1:7">
      <c r="A50" s="360" t="s">
        <v>515</v>
      </c>
      <c r="B50" s="207" t="s">
        <v>9</v>
      </c>
      <c r="C50" s="106" t="s">
        <v>484</v>
      </c>
      <c r="D50" s="110" t="s">
        <v>471</v>
      </c>
      <c r="E50" s="83"/>
      <c r="F50" s="423"/>
      <c r="G50" s="678"/>
    </row>
    <row r="51" spans="1:7">
      <c r="A51" s="360" t="s">
        <v>516</v>
      </c>
      <c r="B51" s="207" t="s">
        <v>10</v>
      </c>
      <c r="C51" s="106" t="s">
        <v>485</v>
      </c>
      <c r="D51" s="110" t="s">
        <v>23</v>
      </c>
      <c r="E51" s="83"/>
      <c r="F51" s="423"/>
      <c r="G51" s="678"/>
    </row>
    <row r="52" spans="1:7">
      <c r="A52" s="360" t="s">
        <v>605</v>
      </c>
      <c r="B52" s="207" t="s">
        <v>12</v>
      </c>
      <c r="C52" s="106" t="s">
        <v>487</v>
      </c>
      <c r="D52" s="110" t="s">
        <v>23</v>
      </c>
      <c r="E52" s="83"/>
      <c r="F52" s="423"/>
      <c r="G52" s="678"/>
    </row>
    <row r="53" spans="1:7">
      <c r="A53" s="360" t="s">
        <v>606</v>
      </c>
      <c r="B53" s="207" t="s">
        <v>11</v>
      </c>
      <c r="C53" s="106" t="s">
        <v>25</v>
      </c>
      <c r="D53" s="110" t="s">
        <v>23</v>
      </c>
      <c r="E53" s="83"/>
      <c r="F53" s="423"/>
      <c r="G53" s="678"/>
    </row>
    <row r="54" spans="1:7" ht="15.75">
      <c r="A54" s="360" t="s">
        <v>607</v>
      </c>
      <c r="B54" s="367" t="s">
        <v>370</v>
      </c>
      <c r="C54" s="106" t="s">
        <v>486</v>
      </c>
      <c r="D54" s="106" t="s">
        <v>432</v>
      </c>
      <c r="E54" s="83"/>
      <c r="F54" s="423"/>
      <c r="G54" s="678"/>
    </row>
    <row r="55" spans="1:7" ht="14.25">
      <c r="A55" s="360">
        <v>19</v>
      </c>
      <c r="B55" s="380">
        <f>B93</f>
        <v>0.6</v>
      </c>
      <c r="C55" s="349" t="s">
        <v>420</v>
      </c>
      <c r="D55" s="349" t="s">
        <v>350</v>
      </c>
      <c r="E55" s="356">
        <f>E50*E$80/860*3.6</f>
        <v>0</v>
      </c>
      <c r="F55" s="435">
        <f>F50*F$80/860*3.6</f>
        <v>0</v>
      </c>
      <c r="G55" s="678"/>
    </row>
    <row r="56" spans="1:7" ht="14.25">
      <c r="A56" s="360">
        <v>20</v>
      </c>
      <c r="B56" s="381">
        <f>B94</f>
        <v>0.6</v>
      </c>
      <c r="C56" s="349" t="s">
        <v>421</v>
      </c>
      <c r="D56" s="349" t="s">
        <v>350</v>
      </c>
      <c r="E56" s="356">
        <f>E53*E$83/860*3.6</f>
        <v>0</v>
      </c>
      <c r="F56" s="435">
        <f>F53*F$83/860*3.6</f>
        <v>0</v>
      </c>
      <c r="G56" s="678"/>
    </row>
    <row r="57" spans="1:7" ht="15.75">
      <c r="A57" s="360">
        <v>21</v>
      </c>
      <c r="B57" s="118" t="s">
        <v>480</v>
      </c>
      <c r="C57" s="106" t="s">
        <v>498</v>
      </c>
      <c r="D57" s="110" t="s">
        <v>7</v>
      </c>
      <c r="E57" s="382">
        <f>IF(E49=0,0,E45/E49)</f>
        <v>0</v>
      </c>
      <c r="F57" s="441">
        <f>IF(F49=0,0,F45/F49)</f>
        <v>0</v>
      </c>
      <c r="G57" s="678"/>
    </row>
    <row r="58" spans="1:7" ht="16.5" thickBot="1">
      <c r="A58" s="458">
        <v>22</v>
      </c>
      <c r="B58" s="472" t="s">
        <v>494</v>
      </c>
      <c r="C58" s="460" t="s">
        <v>499</v>
      </c>
      <c r="D58" s="468" t="s">
        <v>198</v>
      </c>
      <c r="E58" s="469">
        <f>ROUND(IF(E45=0,0,E48*1000/E45),2)</f>
        <v>0</v>
      </c>
      <c r="F58" s="470">
        <f>ROUND(IF(F45=0,0,F48*1000/F45),2)</f>
        <v>0</v>
      </c>
      <c r="G58" s="678"/>
    </row>
    <row r="59" spans="1:7" s="201" customFormat="1" ht="16.5" thickTop="1">
      <c r="A59" s="463"/>
      <c r="B59" s="471" t="s">
        <v>488</v>
      </c>
      <c r="C59" s="465"/>
      <c r="D59" s="466"/>
      <c r="E59" s="402"/>
      <c r="F59" s="448"/>
      <c r="G59" s="678"/>
    </row>
    <row r="60" spans="1:7" s="201" customFormat="1">
      <c r="A60" s="360">
        <v>23</v>
      </c>
      <c r="B60" s="126" t="s">
        <v>393</v>
      </c>
      <c r="C60" s="106" t="s">
        <v>16</v>
      </c>
      <c r="D60" s="349" t="s">
        <v>70</v>
      </c>
      <c r="E60" s="638">
        <f>SUM(E27,-E64)</f>
        <v>155877.31800000003</v>
      </c>
      <c r="F60" s="639">
        <f>SUM(F27,-F64)</f>
        <v>154568.95699999999</v>
      </c>
      <c r="G60" s="678"/>
    </row>
    <row r="61" spans="1:7" s="201" customFormat="1">
      <c r="A61" s="360" t="s">
        <v>622</v>
      </c>
      <c r="B61" s="383" t="s">
        <v>392</v>
      </c>
      <c r="C61" s="106" t="s">
        <v>17</v>
      </c>
      <c r="D61" s="349" t="s">
        <v>70</v>
      </c>
      <c r="E61" s="356">
        <f>SUM(E60,-E62)</f>
        <v>136222.26268480002</v>
      </c>
      <c r="F61" s="435">
        <f>SUM(F60,-F62)</f>
        <v>135050.95699999999</v>
      </c>
      <c r="G61" s="678"/>
    </row>
    <row r="62" spans="1:7" s="201" customFormat="1">
      <c r="A62" s="360" t="s">
        <v>621</v>
      </c>
      <c r="B62" s="383" t="s">
        <v>155</v>
      </c>
      <c r="C62" s="106" t="s">
        <v>18</v>
      </c>
      <c r="D62" s="349" t="s">
        <v>70</v>
      </c>
      <c r="E62" s="83">
        <v>19655.055315199999</v>
      </c>
      <c r="F62" s="423">
        <v>19518</v>
      </c>
      <c r="G62" s="672"/>
    </row>
    <row r="63" spans="1:7" s="201" customFormat="1">
      <c r="A63" s="360" t="s">
        <v>623</v>
      </c>
      <c r="B63" s="384" t="s">
        <v>191</v>
      </c>
      <c r="C63" s="106" t="s">
        <v>16</v>
      </c>
      <c r="D63" s="106" t="s">
        <v>7</v>
      </c>
      <c r="E63" s="373">
        <f>IF(E27=0,0,E60/E27)</f>
        <v>0.2636269304643713</v>
      </c>
      <c r="F63" s="438">
        <f>IF(F27=0,0,F60/F27)</f>
        <v>0.26674006229696912</v>
      </c>
      <c r="G63" s="678"/>
    </row>
    <row r="64" spans="1:7" ht="15.75">
      <c r="A64" s="360">
        <v>24</v>
      </c>
      <c r="B64" s="385" t="s">
        <v>540</v>
      </c>
      <c r="C64" s="106" t="s">
        <v>19</v>
      </c>
      <c r="D64" s="349" t="s">
        <v>70</v>
      </c>
      <c r="E64" s="386">
        <f>SUM(E65:E67)</f>
        <v>435402.63099999999</v>
      </c>
      <c r="F64" s="442">
        <f>SUM(F65:F67)</f>
        <v>424905.141</v>
      </c>
      <c r="G64" s="678"/>
    </row>
    <row r="65" spans="1:7" ht="15.75">
      <c r="A65" s="360" t="s">
        <v>608</v>
      </c>
      <c r="B65" s="387" t="s">
        <v>490</v>
      </c>
      <c r="C65" s="106"/>
      <c r="D65" s="349" t="s">
        <v>70</v>
      </c>
      <c r="E65" s="83">
        <f>416189.269+19213.362</f>
        <v>435402.63099999999</v>
      </c>
      <c r="F65" s="423">
        <f>405562.933+19342.208</f>
        <v>424905.141</v>
      </c>
      <c r="G65" s="678"/>
    </row>
    <row r="66" spans="1:7" ht="15.75">
      <c r="A66" s="360" t="s">
        <v>609</v>
      </c>
      <c r="B66" s="387" t="s">
        <v>491</v>
      </c>
      <c r="C66" s="106"/>
      <c r="D66" s="349" t="s">
        <v>70</v>
      </c>
      <c r="E66" s="83"/>
      <c r="F66" s="423"/>
      <c r="G66" s="678"/>
    </row>
    <row r="67" spans="1:7" s="335" customFormat="1" ht="15.75">
      <c r="A67" s="360" t="s">
        <v>610</v>
      </c>
      <c r="B67" s="388" t="s">
        <v>541</v>
      </c>
      <c r="C67" s="106"/>
      <c r="D67" s="349" t="s">
        <v>70</v>
      </c>
      <c r="E67" s="83"/>
      <c r="F67" s="423"/>
      <c r="G67" s="678"/>
    </row>
    <row r="68" spans="1:7" ht="15.75">
      <c r="A68" s="360">
        <v>25</v>
      </c>
      <c r="B68" s="389" t="s">
        <v>492</v>
      </c>
      <c r="C68" s="349" t="s">
        <v>419</v>
      </c>
      <c r="D68" s="349" t="s">
        <v>375</v>
      </c>
      <c r="E68" s="351">
        <f>E69*860/7000</f>
        <v>336321.90536711004</v>
      </c>
      <c r="F68" s="430">
        <f>F69*860/7000</f>
        <v>323603.48694899853</v>
      </c>
      <c r="G68" s="678"/>
    </row>
    <row r="69" spans="1:7" ht="15.75">
      <c r="A69" s="360">
        <v>26</v>
      </c>
      <c r="B69" s="365" t="s">
        <v>500</v>
      </c>
      <c r="C69" s="349" t="s">
        <v>418</v>
      </c>
      <c r="D69" s="106" t="s">
        <v>70</v>
      </c>
      <c r="E69" s="351">
        <f>SUMPRODUCT(E70:E74,E75:E79)/860</f>
        <v>2737503.8808950819</v>
      </c>
      <c r="F69" s="433">
        <f>SUMPRODUCT(F70:F74,F75:F79)/860</f>
        <v>2633981.8705151044</v>
      </c>
      <c r="G69" s="703"/>
    </row>
    <row r="70" spans="1:7" ht="15.75">
      <c r="A70" s="360" t="s">
        <v>611</v>
      </c>
      <c r="B70" s="390" t="s">
        <v>9</v>
      </c>
      <c r="C70" s="106" t="s">
        <v>21</v>
      </c>
      <c r="D70" s="106" t="s">
        <v>373</v>
      </c>
      <c r="E70" s="391">
        <f t="shared" ref="E70:F74" si="1">SUM(E33,E50)</f>
        <v>0</v>
      </c>
      <c r="F70" s="443">
        <f t="shared" si="1"/>
        <v>0</v>
      </c>
      <c r="G70" s="686"/>
    </row>
    <row r="71" spans="1:7" ht="15">
      <c r="A71" s="360" t="s">
        <v>612</v>
      </c>
      <c r="B71" s="390" t="s">
        <v>10</v>
      </c>
      <c r="C71" s="106" t="s">
        <v>22</v>
      </c>
      <c r="D71" s="106" t="s">
        <v>23</v>
      </c>
      <c r="E71" s="391">
        <f t="shared" si="1"/>
        <v>1229.2</v>
      </c>
      <c r="F71" s="443">
        <f t="shared" si="1"/>
        <v>1229.2</v>
      </c>
      <c r="G71" s="680"/>
    </row>
    <row r="72" spans="1:7" ht="15">
      <c r="A72" s="360" t="s">
        <v>613</v>
      </c>
      <c r="B72" s="390" t="s">
        <v>12</v>
      </c>
      <c r="C72" s="106" t="s">
        <v>24</v>
      </c>
      <c r="D72" s="106" t="s">
        <v>23</v>
      </c>
      <c r="E72" s="391">
        <f t="shared" si="1"/>
        <v>0</v>
      </c>
      <c r="F72" s="443">
        <f t="shared" si="1"/>
        <v>0</v>
      </c>
      <c r="G72" s="678"/>
    </row>
    <row r="73" spans="1:7" ht="15">
      <c r="A73" s="360" t="s">
        <v>614</v>
      </c>
      <c r="B73" s="390" t="s">
        <v>11</v>
      </c>
      <c r="C73" s="106" t="s">
        <v>25</v>
      </c>
      <c r="D73" s="106" t="s">
        <v>23</v>
      </c>
      <c r="E73" s="351">
        <f t="shared" si="1"/>
        <v>939869.91</v>
      </c>
      <c r="F73" s="433">
        <f>SUM(F36,F53)</f>
        <v>903834.21</v>
      </c>
      <c r="G73" s="678"/>
    </row>
    <row r="74" spans="1:7" ht="15.75">
      <c r="A74" s="360" t="s">
        <v>615</v>
      </c>
      <c r="B74" s="425" t="s">
        <v>370</v>
      </c>
      <c r="C74" s="106" t="s">
        <v>416</v>
      </c>
      <c r="D74" s="106" t="s">
        <v>432</v>
      </c>
      <c r="E74" s="351">
        <f t="shared" si="1"/>
        <v>0</v>
      </c>
      <c r="F74" s="430">
        <f t="shared" si="1"/>
        <v>0</v>
      </c>
      <c r="G74" s="678"/>
    </row>
    <row r="75" spans="1:7" ht="15.75">
      <c r="A75" s="360" t="s">
        <v>616</v>
      </c>
      <c r="B75" s="392" t="s">
        <v>427</v>
      </c>
      <c r="C75" s="106" t="s">
        <v>741</v>
      </c>
      <c r="D75" s="106" t="s">
        <v>374</v>
      </c>
      <c r="E75" s="422"/>
      <c r="F75" s="444"/>
      <c r="G75" s="678"/>
    </row>
    <row r="76" spans="1:7" ht="15.75">
      <c r="A76" s="360" t="s">
        <v>617</v>
      </c>
      <c r="B76" s="393" t="s">
        <v>10</v>
      </c>
      <c r="C76" s="106" t="s">
        <v>742</v>
      </c>
      <c r="D76" s="106" t="s">
        <v>28</v>
      </c>
      <c r="E76" s="422">
        <v>9500</v>
      </c>
      <c r="F76" s="444">
        <v>9500</v>
      </c>
      <c r="G76" s="678"/>
    </row>
    <row r="77" spans="1:7" ht="15.75">
      <c r="A77" s="360" t="s">
        <v>618</v>
      </c>
      <c r="B77" s="393" t="s">
        <v>12</v>
      </c>
      <c r="C77" s="106" t="s">
        <v>743</v>
      </c>
      <c r="D77" s="106" t="s">
        <v>28</v>
      </c>
      <c r="E77" s="422"/>
      <c r="F77" s="444"/>
      <c r="G77" s="678"/>
    </row>
    <row r="78" spans="1:7" ht="15.75">
      <c r="A78" s="360" t="s">
        <v>619</v>
      </c>
      <c r="B78" s="393" t="s">
        <v>11</v>
      </c>
      <c r="C78" s="106" t="s">
        <v>744</v>
      </c>
      <c r="D78" s="106" t="s">
        <v>28</v>
      </c>
      <c r="E78" s="422">
        <v>2492.4470000000001</v>
      </c>
      <c r="F78" s="444">
        <v>2493.319</v>
      </c>
      <c r="G78" s="699"/>
    </row>
    <row r="79" spans="1:7" ht="15.75">
      <c r="A79" s="360" t="s">
        <v>620</v>
      </c>
      <c r="B79" s="425" t="s">
        <v>370</v>
      </c>
      <c r="C79" s="106" t="s">
        <v>745</v>
      </c>
      <c r="D79" s="394" t="s">
        <v>434</v>
      </c>
      <c r="E79" s="422"/>
      <c r="F79" s="444"/>
      <c r="G79" s="678"/>
    </row>
    <row r="80" spans="1:7" ht="15.75">
      <c r="A80" s="360" t="s">
        <v>625</v>
      </c>
      <c r="B80" s="392" t="s">
        <v>426</v>
      </c>
      <c r="C80" s="106" t="s">
        <v>26</v>
      </c>
      <c r="D80" s="106" t="s">
        <v>374</v>
      </c>
      <c r="E80" s="422"/>
      <c r="F80" s="444"/>
      <c r="G80" s="678"/>
    </row>
    <row r="81" spans="1:7" ht="15.75">
      <c r="A81" s="360" t="s">
        <v>626</v>
      </c>
      <c r="B81" s="393" t="s">
        <v>10</v>
      </c>
      <c r="C81" s="106" t="s">
        <v>27</v>
      </c>
      <c r="D81" s="106" t="s">
        <v>28</v>
      </c>
      <c r="E81" s="422"/>
      <c r="F81" s="444"/>
      <c r="G81" s="678"/>
    </row>
    <row r="82" spans="1:7" ht="15.75">
      <c r="A82" s="360" t="s">
        <v>627</v>
      </c>
      <c r="B82" s="393" t="s">
        <v>12</v>
      </c>
      <c r="C82" s="106" t="s">
        <v>29</v>
      </c>
      <c r="D82" s="106" t="s">
        <v>28</v>
      </c>
      <c r="E82" s="422"/>
      <c r="F82" s="444"/>
      <c r="G82" s="678"/>
    </row>
    <row r="83" spans="1:7" ht="15.75">
      <c r="A83" s="360" t="s">
        <v>628</v>
      </c>
      <c r="B83" s="395" t="s">
        <v>11</v>
      </c>
      <c r="C83" s="106" t="s">
        <v>30</v>
      </c>
      <c r="D83" s="106" t="s">
        <v>28</v>
      </c>
      <c r="E83" s="422">
        <v>2742</v>
      </c>
      <c r="F83" s="444">
        <v>2742</v>
      </c>
      <c r="G83"/>
    </row>
    <row r="84" spans="1:7" ht="15.75">
      <c r="A84" s="360" t="s">
        <v>629</v>
      </c>
      <c r="B84" s="393" t="str">
        <f>$B$79</f>
        <v>друг вид гориво (ВЕИ)</v>
      </c>
      <c r="C84" s="106" t="s">
        <v>371</v>
      </c>
      <c r="D84" s="106" t="s">
        <v>417</v>
      </c>
      <c r="E84" s="422"/>
      <c r="F84" s="444">
        <f>3640-3640</f>
        <v>0</v>
      </c>
      <c r="G84" s="678"/>
    </row>
    <row r="85" spans="1:7" ht="15.75">
      <c r="A85" s="360">
        <v>29</v>
      </c>
      <c r="B85" s="396" t="s">
        <v>424</v>
      </c>
      <c r="C85" s="394" t="s">
        <v>349</v>
      </c>
      <c r="D85" s="106" t="s">
        <v>376</v>
      </c>
      <c r="E85" s="391">
        <f>IF(E69=0,0,SUMPRODUCT(E70:E74,E86:E90)/E69)</f>
        <v>32.865090245272292</v>
      </c>
      <c r="F85" s="697">
        <f>IF(F69=0,0,SUMPRODUCT(F70:F74,F86:F90)/F69)</f>
        <v>32.958768318448136</v>
      </c>
      <c r="G85" s="678"/>
    </row>
    <row r="86" spans="1:7" ht="15.75">
      <c r="A86" s="360" t="s">
        <v>630</v>
      </c>
      <c r="B86" s="393" t="s">
        <v>348</v>
      </c>
      <c r="C86" s="394" t="s">
        <v>31</v>
      </c>
      <c r="D86" s="106" t="s">
        <v>377</v>
      </c>
      <c r="E86" s="424"/>
      <c r="F86" s="445"/>
      <c r="G86" s="678"/>
    </row>
    <row r="87" spans="1:7" ht="15.75">
      <c r="A87" s="360" t="s">
        <v>631</v>
      </c>
      <c r="B87" s="393" t="s">
        <v>10</v>
      </c>
      <c r="C87" s="394" t="s">
        <v>32</v>
      </c>
      <c r="D87" s="106" t="s">
        <v>378</v>
      </c>
      <c r="E87" s="424">
        <v>676.09</v>
      </c>
      <c r="F87" s="445">
        <v>676.09</v>
      </c>
      <c r="G87" s="678"/>
    </row>
    <row r="88" spans="1:7" ht="15.75">
      <c r="A88" s="360" t="s">
        <v>632</v>
      </c>
      <c r="B88" s="393" t="s">
        <v>12</v>
      </c>
      <c r="C88" s="394" t="s">
        <v>33</v>
      </c>
      <c r="D88" s="106" t="s">
        <v>378</v>
      </c>
      <c r="E88" s="424"/>
      <c r="F88" s="445"/>
      <c r="G88" s="678"/>
    </row>
    <row r="89" spans="1:7" ht="15.75">
      <c r="A89" s="360" t="s">
        <v>633</v>
      </c>
      <c r="B89" s="393" t="s">
        <v>11</v>
      </c>
      <c r="C89" s="394" t="s">
        <v>34</v>
      </c>
      <c r="D89" s="106" t="s">
        <v>378</v>
      </c>
      <c r="E89" s="424">
        <v>94.84</v>
      </c>
      <c r="F89" s="445">
        <v>95.13</v>
      </c>
      <c r="G89" s="698"/>
    </row>
    <row r="90" spans="1:7" ht="15.75">
      <c r="A90" s="360" t="s">
        <v>634</v>
      </c>
      <c r="B90" s="393" t="str">
        <f>$B$79</f>
        <v>друг вид гориво (ВЕИ)</v>
      </c>
      <c r="C90" s="394" t="s">
        <v>372</v>
      </c>
      <c r="D90" s="394" t="s">
        <v>433</v>
      </c>
      <c r="E90" s="424"/>
      <c r="F90" s="424"/>
      <c r="G90" s="678"/>
    </row>
    <row r="91" spans="1:7" ht="15.75">
      <c r="A91" s="360">
        <v>30</v>
      </c>
      <c r="B91" s="392" t="s">
        <v>538</v>
      </c>
      <c r="C91" s="106" t="s">
        <v>318</v>
      </c>
      <c r="D91" s="106" t="s">
        <v>35</v>
      </c>
      <c r="E91" s="397">
        <f>IF(E64=0,0,E27*E42/E64)</f>
        <v>303.33808940196781</v>
      </c>
      <c r="F91" s="446">
        <f>IF(F64=0,0,F27*F42/F64)</f>
        <v>299.07538749078117</v>
      </c>
      <c r="G91" s="678"/>
    </row>
    <row r="92" spans="1:7" ht="15.75">
      <c r="A92" s="360">
        <v>31</v>
      </c>
      <c r="B92" s="398" t="s">
        <v>193</v>
      </c>
      <c r="C92" s="106" t="s">
        <v>319</v>
      </c>
      <c r="D92" s="106" t="s">
        <v>198</v>
      </c>
      <c r="E92" s="399">
        <f>IF(E8=0,0,SUM(E68,-E27*E42/1000)/E8*1000)</f>
        <v>129.68975395107012</v>
      </c>
      <c r="F92" s="447">
        <f>IF(F8=0,0,SUM(F68,-F27*F42/1000)/F8*1000)</f>
        <v>130.50390002732985</v>
      </c>
      <c r="G92" s="678"/>
    </row>
    <row r="93" spans="1:7" ht="14.25">
      <c r="A93" s="360">
        <v>32</v>
      </c>
      <c r="B93" s="426">
        <v>0.6</v>
      </c>
      <c r="C93" s="349" t="s">
        <v>420</v>
      </c>
      <c r="D93" s="349" t="s">
        <v>350</v>
      </c>
      <c r="E93" s="356">
        <f>SUM(E38,E55)</f>
        <v>0</v>
      </c>
      <c r="F93" s="435">
        <f>SUM(F38,F55)</f>
        <v>0</v>
      </c>
      <c r="G93" s="678"/>
    </row>
    <row r="94" spans="1:7" ht="14.25">
      <c r="A94" s="360">
        <v>33</v>
      </c>
      <c r="B94" s="427">
        <v>0.6</v>
      </c>
      <c r="C94" s="349" t="s">
        <v>421</v>
      </c>
      <c r="D94" s="349" t="s">
        <v>350</v>
      </c>
      <c r="E94" s="119">
        <f>SUM(E39,E56)</f>
        <v>6551526.8761639791</v>
      </c>
      <c r="F94" s="435">
        <f>IF(F$49=0,0,SUM(F53*F83,F36*F83*(F51*F76/(F$49)))*0.86/3600000)</f>
        <v>0</v>
      </c>
      <c r="G94" s="678"/>
    </row>
    <row r="95" spans="1:7" ht="18.75">
      <c r="A95" s="360">
        <v>34</v>
      </c>
      <c r="B95" s="392" t="s">
        <v>722</v>
      </c>
      <c r="C95" s="106"/>
      <c r="D95" s="106" t="s">
        <v>23</v>
      </c>
      <c r="E95" s="85">
        <v>285720.75</v>
      </c>
      <c r="F95" s="444">
        <v>280880</v>
      </c>
      <c r="G95" s="678"/>
    </row>
    <row r="96" spans="1:7" ht="18.75">
      <c r="A96" s="360" t="s">
        <v>635</v>
      </c>
      <c r="B96" s="392" t="s">
        <v>723</v>
      </c>
      <c r="C96" s="106"/>
      <c r="D96" s="106" t="s">
        <v>23</v>
      </c>
      <c r="E96" s="391">
        <f>SUM(E95,-E97)</f>
        <v>112202.53852500001</v>
      </c>
      <c r="F96" s="430">
        <f>SUM(F95,-F97)</f>
        <v>110301.576</v>
      </c>
      <c r="G96" s="678"/>
    </row>
    <row r="97" spans="1:7" ht="18.75">
      <c r="A97" s="360" t="s">
        <v>636</v>
      </c>
      <c r="B97" s="392" t="s">
        <v>724</v>
      </c>
      <c r="C97" s="106"/>
      <c r="D97" s="106" t="s">
        <v>23</v>
      </c>
      <c r="E97" s="83">
        <v>173518.21147499999</v>
      </c>
      <c r="F97" s="444">
        <v>170578.424</v>
      </c>
      <c r="G97" s="678"/>
    </row>
    <row r="98" spans="1:7" ht="15.75">
      <c r="A98" s="360" t="s">
        <v>637</v>
      </c>
      <c r="B98" s="392" t="s">
        <v>423</v>
      </c>
      <c r="C98" s="106"/>
      <c r="D98" s="106" t="s">
        <v>23</v>
      </c>
      <c r="E98" s="85">
        <v>285720.75</v>
      </c>
      <c r="F98" s="444">
        <v>280880</v>
      </c>
      <c r="G98"/>
    </row>
    <row r="99" spans="1:7" ht="15.75">
      <c r="A99" s="360" t="s">
        <v>638</v>
      </c>
      <c r="B99" s="392" t="s">
        <v>503</v>
      </c>
      <c r="C99" s="106"/>
      <c r="D99" s="106" t="s">
        <v>23</v>
      </c>
      <c r="E99" s="85"/>
      <c r="F99" s="444"/>
      <c r="G99" s="678"/>
    </row>
    <row r="100" spans="1:7" ht="15.75">
      <c r="A100" s="360">
        <v>35</v>
      </c>
      <c r="B100" s="392" t="s">
        <v>504</v>
      </c>
      <c r="C100" s="106" t="s">
        <v>422</v>
      </c>
      <c r="D100" s="106" t="s">
        <v>378</v>
      </c>
      <c r="E100" s="85">
        <f>46*1.95583</f>
        <v>89.968180000000004</v>
      </c>
      <c r="F100" s="445">
        <f>46*1.95583</f>
        <v>89.968180000000004</v>
      </c>
      <c r="G100" s="678"/>
    </row>
    <row r="101" spans="1:7" ht="15.75">
      <c r="A101" s="360">
        <v>36</v>
      </c>
      <c r="B101" s="392" t="s">
        <v>754</v>
      </c>
      <c r="C101" s="106" t="s">
        <v>422</v>
      </c>
      <c r="D101" s="106" t="s">
        <v>378</v>
      </c>
      <c r="E101" s="85"/>
      <c r="F101" s="445"/>
      <c r="G101" s="678"/>
    </row>
    <row r="102" spans="1:7" ht="15.75">
      <c r="A102" s="400">
        <v>37</v>
      </c>
      <c r="B102" s="568" t="s">
        <v>97</v>
      </c>
      <c r="C102" s="401" t="s">
        <v>224</v>
      </c>
      <c r="D102" s="401" t="s">
        <v>164</v>
      </c>
      <c r="E102" s="402">
        <f>SUM(E103:E104)</f>
        <v>847</v>
      </c>
      <c r="F102" s="448">
        <f>SUM(F103:F104)</f>
        <v>716</v>
      </c>
      <c r="G102" s="678"/>
    </row>
    <row r="103" spans="1:7" ht="15.75">
      <c r="A103" s="360" t="s">
        <v>639</v>
      </c>
      <c r="B103" s="393" t="s">
        <v>20</v>
      </c>
      <c r="C103" s="106" t="s">
        <v>225</v>
      </c>
      <c r="D103" s="106" t="s">
        <v>164</v>
      </c>
      <c r="E103" s="83">
        <v>1</v>
      </c>
      <c r="F103" s="423">
        <v>1</v>
      </c>
      <c r="G103" s="678"/>
    </row>
    <row r="104" spans="1:7" ht="15.75">
      <c r="A104" s="360" t="s">
        <v>640</v>
      </c>
      <c r="B104" s="393" t="s">
        <v>222</v>
      </c>
      <c r="C104" s="106" t="s">
        <v>226</v>
      </c>
      <c r="D104" s="106" t="s">
        <v>164</v>
      </c>
      <c r="E104" s="83">
        <v>846</v>
      </c>
      <c r="F104" s="423">
        <v>715</v>
      </c>
      <c r="G104" s="678"/>
    </row>
    <row r="105" spans="1:7" ht="15.75">
      <c r="A105" s="360">
        <v>38</v>
      </c>
      <c r="B105" s="569" t="s">
        <v>734</v>
      </c>
      <c r="C105" s="106" t="s">
        <v>228</v>
      </c>
      <c r="D105" s="403" t="s">
        <v>336</v>
      </c>
      <c r="E105" s="404">
        <f>SUM(E106:E107)</f>
        <v>94964.939954430869</v>
      </c>
      <c r="F105" s="449">
        <f>SUM(F106:F107)</f>
        <v>92030.93425598093</v>
      </c>
      <c r="G105" s="678"/>
    </row>
    <row r="106" spans="1:7" ht="15.75">
      <c r="A106" s="360" t="s">
        <v>641</v>
      </c>
      <c r="B106" s="570" t="s">
        <v>247</v>
      </c>
      <c r="C106" s="106"/>
      <c r="D106" s="403" t="s">
        <v>336</v>
      </c>
      <c r="E106" s="404">
        <f>ROUND(IF(E$27=0,0,РБА!D$69*НВ!$F$21),3)</f>
        <v>5208.0810000000001</v>
      </c>
      <c r="F106" s="449">
        <f>ROUND(IF(F$27=0,0,РБА!G69*НВ!G21),3)</f>
        <v>5179.3639999999996</v>
      </c>
      <c r="G106" s="678"/>
    </row>
    <row r="107" spans="1:7" ht="15.75">
      <c r="A107" s="360" t="s">
        <v>642</v>
      </c>
      <c r="B107" s="570" t="s">
        <v>246</v>
      </c>
      <c r="C107" s="172"/>
      <c r="D107" s="403" t="s">
        <v>336</v>
      </c>
      <c r="E107" s="404">
        <f>SUM(E108:E109)</f>
        <v>89756.858954430863</v>
      </c>
      <c r="F107" s="449">
        <f>SUM(F108:F109)</f>
        <v>86851.570255980929</v>
      </c>
      <c r="G107" s="678"/>
    </row>
    <row r="108" spans="1:7" ht="15.75">
      <c r="A108" s="360" t="s">
        <v>643</v>
      </c>
      <c r="B108" s="570" t="s">
        <v>245</v>
      </c>
      <c r="C108" s="172"/>
      <c r="D108" s="403" t="s">
        <v>336</v>
      </c>
      <c r="E108" s="404">
        <f>ROUND(IF(E$27=0,0,SUM(Разходи!D$14,Разходи!D$19,SUM(Разходи!D11,-SUM(Разходи!D14:D15,Разходи!D19:D20))*Коефициенти!E27)),3)</f>
        <v>13866.237999999999</v>
      </c>
      <c r="F108" s="449">
        <f>ROUND(IF(F$27=0,0,SUM(Разходи!G$14,Разходи!G$19,SUM(Разходи!G11,-SUM(Разходи!G14:G15,Разходи!G19:G20))*Коефициенти!F27)),3)</f>
        <v>12284.651</v>
      </c>
      <c r="G108" s="678"/>
    </row>
    <row r="109" spans="1:7" ht="15.75">
      <c r="A109" s="360" t="s">
        <v>644</v>
      </c>
      <c r="B109" s="570" t="s">
        <v>244</v>
      </c>
      <c r="C109" s="172"/>
      <c r="D109" s="403" t="s">
        <v>336</v>
      </c>
      <c r="E109" s="404">
        <f>ROUND(IF(E$27=0,0,SUM(Разходи!D$85,SUM(Разходи!D75:D78)*Коефициенти!E27)*(1-E$62/E$27)),3)+E27/Коефициенти!E22*E85/1000</f>
        <v>75890.620954430866</v>
      </c>
      <c r="F109" s="647">
        <f>ROUND(IF(F$27=0,0,SUM(Разходи!G$85,SUM(Разходи!G75:G78)*Коефициенти!F27)*(1-F$62/F$27)),3)+F27/Коефициенти!F22*F85/1000</f>
        <v>74566.919255980931</v>
      </c>
      <c r="G109" s="678"/>
    </row>
    <row r="110" spans="1:7" ht="15.75">
      <c r="A110" s="360">
        <v>39</v>
      </c>
      <c r="B110" s="405" t="s">
        <v>223</v>
      </c>
      <c r="C110" s="106" t="s">
        <v>227</v>
      </c>
      <c r="D110" s="106" t="s">
        <v>376</v>
      </c>
      <c r="E110" s="406">
        <f>IF(E$64=0,0,ROUND(E105/E$64*1000,2))</f>
        <v>218.11</v>
      </c>
      <c r="F110" s="450">
        <f>IF(F$64=0,0,ROUND(F105/F$64*1000,2))</f>
        <v>216.59</v>
      </c>
      <c r="G110" s="678"/>
    </row>
    <row r="111" spans="1:7" ht="15.75">
      <c r="A111" s="360">
        <v>40</v>
      </c>
      <c r="B111" s="407" t="s">
        <v>425</v>
      </c>
      <c r="C111" s="106" t="s">
        <v>227</v>
      </c>
      <c r="D111" s="106" t="s">
        <v>376</v>
      </c>
      <c r="E111" s="408">
        <f>ROUND(IF(SUM(E$20,-E$14)=0,0,E112*1000/SUM(E$20,-E$14)),2)</f>
        <v>39.58</v>
      </c>
      <c r="F111" s="451">
        <f>ROUND(IF(SUM(F$20,-F$14)=0,0,F112*1000/SUM(F$20,-F$14)),2)</f>
        <v>39.78</v>
      </c>
      <c r="G111" s="678"/>
    </row>
    <row r="112" spans="1:7" ht="15.75">
      <c r="A112" s="360" t="s">
        <v>645</v>
      </c>
      <c r="B112" s="571" t="s">
        <v>158</v>
      </c>
      <c r="C112" s="106" t="s">
        <v>233</v>
      </c>
      <c r="D112" s="403" t="s">
        <v>336</v>
      </c>
      <c r="E112" s="409">
        <f>SUM(Разходи!D8,-E$105)</f>
        <v>62333.475724502539</v>
      </c>
      <c r="F112" s="452">
        <f>SUM(Разходи!G8,-F$105)</f>
        <v>59900.002006032897</v>
      </c>
      <c r="G112" s="678"/>
    </row>
    <row r="113" spans="1:7" ht="15.75">
      <c r="A113" s="360" t="s">
        <v>646</v>
      </c>
      <c r="B113" s="571" t="s">
        <v>735</v>
      </c>
      <c r="C113" s="106"/>
      <c r="D113" s="403" t="s">
        <v>336</v>
      </c>
      <c r="E113" s="410">
        <f>SUM(Разходи!D$9,-E$106)</f>
        <v>22.33068749999984</v>
      </c>
      <c r="F113" s="453">
        <f>SUM(Разходи!G$9,-F$106)</f>
        <v>22.331117500000801</v>
      </c>
      <c r="G113" s="678"/>
    </row>
    <row r="114" spans="1:7" ht="14.25">
      <c r="A114" s="360" t="s">
        <v>647</v>
      </c>
      <c r="B114" s="572" t="s">
        <v>736</v>
      </c>
      <c r="C114" s="172"/>
      <c r="D114" s="403" t="s">
        <v>336</v>
      </c>
      <c r="E114" s="410">
        <f>SUM(Разходи!D$10,-E$107)</f>
        <v>62311.145037002556</v>
      </c>
      <c r="F114" s="453">
        <f>SUM(Разходи!G$10,-F$107)</f>
        <v>59877.670888532899</v>
      </c>
      <c r="G114" s="678"/>
    </row>
    <row r="115" spans="1:7" ht="14.25">
      <c r="A115" s="360" t="s">
        <v>648</v>
      </c>
      <c r="B115" s="572" t="s">
        <v>737</v>
      </c>
      <c r="C115" s="172"/>
      <c r="D115" s="403" t="s">
        <v>336</v>
      </c>
      <c r="E115" s="410">
        <f>SUM(Разходи!D$11,-E$108)</f>
        <v>12703.762000000001</v>
      </c>
      <c r="F115" s="453">
        <f>SUM(Разходи!G$11,-F$108)</f>
        <v>12945.349</v>
      </c>
      <c r="G115" s="678"/>
    </row>
    <row r="116" spans="1:7" ht="15.75">
      <c r="A116" s="360" t="s">
        <v>649</v>
      </c>
      <c r="B116" s="571" t="s">
        <v>738</v>
      </c>
      <c r="C116" s="172"/>
      <c r="D116" s="403" t="s">
        <v>336</v>
      </c>
      <c r="E116" s="410">
        <f>SUM(Разходи!D$61,-E$109)</f>
        <v>49607.383037002539</v>
      </c>
      <c r="F116" s="453">
        <f>SUM(Разходи!G$61,-F$109)</f>
        <v>46932.321888532897</v>
      </c>
      <c r="G116" s="678"/>
    </row>
    <row r="117" spans="1:7" ht="15.75" hidden="1">
      <c r="A117" s="360">
        <v>41</v>
      </c>
      <c r="B117" s="567" t="s">
        <v>313</v>
      </c>
      <c r="C117" s="106"/>
      <c r="D117" s="106" t="s">
        <v>376</v>
      </c>
      <c r="E117" s="573"/>
      <c r="F117" s="574"/>
      <c r="G117" s="678"/>
    </row>
    <row r="118" spans="1:7" s="334" customFormat="1" ht="15.75">
      <c r="A118" s="360">
        <v>41</v>
      </c>
      <c r="B118" s="405" t="s">
        <v>197</v>
      </c>
      <c r="C118" s="143" t="s">
        <v>231</v>
      </c>
      <c r="D118" s="143" t="s">
        <v>376</v>
      </c>
      <c r="E118" s="411">
        <f>SUM(E$110,E$117)</f>
        <v>218.11</v>
      </c>
      <c r="F118" s="689">
        <f>SUM(F$110,F$117)</f>
        <v>216.59</v>
      </c>
      <c r="G118" s="678"/>
    </row>
    <row r="119" spans="1:7" ht="15.75">
      <c r="A119" s="360">
        <v>42</v>
      </c>
      <c r="B119" s="412">
        <v>2008</v>
      </c>
      <c r="C119" s="106" t="s">
        <v>230</v>
      </c>
      <c r="D119" s="106" t="s">
        <v>376</v>
      </c>
      <c r="E119" s="413">
        <f>IF(B119&lt;2004,E110,E118)</f>
        <v>218.11</v>
      </c>
      <c r="F119" s="454">
        <f>IF(C119&lt;2004,F110,F118)</f>
        <v>216.59</v>
      </c>
      <c r="G119" s="678"/>
    </row>
    <row r="120" spans="1:7" ht="15.75">
      <c r="A120" s="360">
        <v>43</v>
      </c>
      <c r="B120" s="392" t="s">
        <v>312</v>
      </c>
      <c r="C120" s="106" t="s">
        <v>229</v>
      </c>
      <c r="D120" s="106" t="s">
        <v>376</v>
      </c>
      <c r="E120" s="391">
        <f>E110</f>
        <v>218.11</v>
      </c>
      <c r="F120" s="443">
        <f>F110</f>
        <v>216.59</v>
      </c>
      <c r="G120" s="678"/>
    </row>
    <row r="121" spans="1:7" ht="15.75">
      <c r="A121" s="360">
        <v>44</v>
      </c>
      <c r="B121" s="392" t="s">
        <v>157</v>
      </c>
      <c r="C121" s="106" t="s">
        <v>232</v>
      </c>
      <c r="D121" s="403" t="s">
        <v>336</v>
      </c>
      <c r="E121" s="414">
        <f>SUMPRODUCT(E65:E67,E118:E120)/1000</f>
        <v>94965.667847410004</v>
      </c>
      <c r="F121" s="453">
        <f>SUMPRODUCT(F65:F67,F118:F120)/1000</f>
        <v>92030.20448919</v>
      </c>
      <c r="G121" s="678"/>
    </row>
    <row r="122" spans="1:7" ht="15.75">
      <c r="A122" s="210">
        <v>45</v>
      </c>
      <c r="B122" s="455" t="s">
        <v>542</v>
      </c>
      <c r="C122" s="106" t="s">
        <v>233</v>
      </c>
      <c r="D122" s="403" t="s">
        <v>336</v>
      </c>
      <c r="E122" s="414">
        <f>SUM(Разходи!D$8,-E$121)</f>
        <v>62332.747831523404</v>
      </c>
      <c r="F122" s="453">
        <f>SUM(Разходи!G$8,-F$121)</f>
        <v>59900.731772823827</v>
      </c>
      <c r="G122" s="678"/>
    </row>
    <row r="123" spans="1:7" ht="15.75">
      <c r="A123" s="360">
        <v>46</v>
      </c>
      <c r="B123" s="564" t="s">
        <v>196</v>
      </c>
      <c r="C123" s="415" t="s">
        <v>159</v>
      </c>
      <c r="D123" s="106" t="s">
        <v>376</v>
      </c>
      <c r="E123" s="416">
        <f>IF(E8=0,0,ROUND(E122/E8*1000,2))</f>
        <v>39.58</v>
      </c>
      <c r="F123" s="456">
        <f>IF(F8=0,0,ROUND(F122/F8*1000,2))</f>
        <v>39.78</v>
      </c>
      <c r="G123" s="678"/>
    </row>
    <row r="124" spans="1:7" ht="15.75">
      <c r="A124" s="360">
        <v>47</v>
      </c>
      <c r="B124" s="565" t="s">
        <v>194</v>
      </c>
      <c r="C124" s="417" t="s">
        <v>87</v>
      </c>
      <c r="D124" s="401" t="s">
        <v>376</v>
      </c>
      <c r="E124" s="418">
        <f>IF(E9=0,0,SUM(IF(E8=0,0,IF(Разходи!D8=0,0,E122/Разходи!D8*Разходи!D61)/E8*1000)*E9,IF(E102=0,0,SUM(E122,-IF(Разходи!D8=0,0,E122/Разходи!D8*Разходи!D61))/E102*E103*1000/E9)*E9)/E9)</f>
        <v>32.38159332521748</v>
      </c>
      <c r="F124" s="457">
        <f>IF(F9=0,0,SUM(IF(F8=0,0,IF(Разходи!G8=0,0,F122/Разходи!G8*Разходи!G61)/F8*1000)*F9,IF(F102=0,0,SUM(F122,-IF(Разходи!G8=0,0,F122/Разходи!G8*Разходи!G61))/F102*F103*1000/F9)*F9)/F9)</f>
        <v>32.715839434816502</v>
      </c>
      <c r="G124" s="678"/>
    </row>
    <row r="125" spans="1:7" ht="16.5" thickBot="1">
      <c r="A125" s="458">
        <v>48</v>
      </c>
      <c r="B125" s="566" t="s">
        <v>195</v>
      </c>
      <c r="C125" s="459" t="s">
        <v>168</v>
      </c>
      <c r="D125" s="460" t="s">
        <v>376</v>
      </c>
      <c r="E125" s="461">
        <f>IF(E10=0,0,SUM(IF(E8=0,0,IF(Разходи!D8=0,0,E122/Разходи!D8*Разходи!D61)/E8*1000)*E10,IF(E102=0,0,SUM(E122,-IF(Разходи!D8=0,0,E122/Разходи!D8*Разходи!D61))/E102*E104*1000/E10)*E10)/E10)</f>
        <v>39.664554591537751</v>
      </c>
      <c r="F125" s="462">
        <f>IF(F10=0,0,SUM(IF(F8=0,0,IF(Разходи!G8=0,0,F122/Разходи!G8*Разходи!G61)/F8*1000)*F10,IF(F102=0,0,SUM(F122,-IF(Разходи!G8=0,0,F122/Разходи!G8*Разходи!G61))/F102*F104*1000/F10)*F10)/F10)</f>
        <v>39.865408780186975</v>
      </c>
      <c r="G125" s="678"/>
    </row>
    <row r="126" spans="1:7" ht="13.5" thickTop="1"/>
    <row r="127" spans="1:7" ht="13.5" thickBot="1"/>
    <row r="128" spans="1:7" ht="32.25" customHeight="1" thickTop="1">
      <c r="A128" s="797" t="s">
        <v>0</v>
      </c>
      <c r="B128" s="801">
        <f>B5</f>
        <v>2020</v>
      </c>
      <c r="C128" s="793" t="s">
        <v>42</v>
      </c>
      <c r="D128" s="795" t="s">
        <v>14</v>
      </c>
      <c r="E128" s="339" t="s">
        <v>333</v>
      </c>
      <c r="F128" s="340" t="s">
        <v>334</v>
      </c>
    </row>
    <row r="129" spans="1:6" ht="15.75">
      <c r="A129" s="798"/>
      <c r="B129" s="802"/>
      <c r="C129" s="794"/>
      <c r="D129" s="796"/>
      <c r="E129" s="341">
        <f>($B$5-1.0002)*1</f>
        <v>2018.9998000000001</v>
      </c>
      <c r="F129" s="677">
        <f>$B$5</f>
        <v>2020</v>
      </c>
    </row>
    <row r="130" spans="1:6">
      <c r="A130" s="342">
        <v>1</v>
      </c>
      <c r="B130" s="343">
        <v>2</v>
      </c>
      <c r="C130" s="344">
        <v>3</v>
      </c>
      <c r="D130" s="344">
        <v>4</v>
      </c>
      <c r="E130" s="345">
        <v>5</v>
      </c>
      <c r="F130" s="520">
        <v>6</v>
      </c>
    </row>
    <row r="131" spans="1:6" ht="15">
      <c r="A131" s="577">
        <v>1</v>
      </c>
      <c r="B131" s="575" t="s">
        <v>713</v>
      </c>
      <c r="C131" s="118"/>
      <c r="D131" s="324" t="s">
        <v>711</v>
      </c>
      <c r="E131" s="303">
        <f>SUM(E133,-E132)</f>
        <v>1279</v>
      </c>
      <c r="F131" s="578">
        <f>SUM(F133,-F132)</f>
        <v>1279</v>
      </c>
    </row>
    <row r="132" spans="1:6" ht="15">
      <c r="A132" s="577">
        <v>2</v>
      </c>
      <c r="B132" s="575" t="s">
        <v>715</v>
      </c>
      <c r="C132" s="118"/>
      <c r="D132" s="324" t="s">
        <v>711</v>
      </c>
      <c r="E132" s="696">
        <v>7</v>
      </c>
      <c r="F132" s="696">
        <v>7</v>
      </c>
    </row>
    <row r="133" spans="1:6" ht="15.75" thickBot="1">
      <c r="A133" s="579">
        <v>3</v>
      </c>
      <c r="B133" s="580" t="s">
        <v>714</v>
      </c>
      <c r="C133" s="472"/>
      <c r="D133" s="541" t="s">
        <v>711</v>
      </c>
      <c r="E133" s="696">
        <v>1286</v>
      </c>
      <c r="F133" s="696">
        <v>1286</v>
      </c>
    </row>
    <row r="134" spans="1:6" ht="14.25" thickTop="1">
      <c r="A134" s="536"/>
      <c r="B134" s="562"/>
      <c r="C134" s="538"/>
      <c r="D134" s="538"/>
      <c r="E134" s="538"/>
    </row>
    <row r="135" spans="1:6" ht="13.5">
      <c r="A135" s="536"/>
      <c r="B135" s="562"/>
      <c r="C135" s="538"/>
      <c r="D135" s="538"/>
      <c r="E135" s="538"/>
    </row>
    <row r="136" spans="1:6" ht="13.5">
      <c r="A136" s="536"/>
      <c r="B136" s="562"/>
      <c r="C136" s="538"/>
      <c r="D136" s="538"/>
      <c r="E136" s="538"/>
    </row>
    <row r="137" spans="1:6">
      <c r="F137" s="419"/>
    </row>
    <row r="138" spans="1:6" ht="15.75">
      <c r="A138" s="105" t="str">
        <f>Разходи!$A$91</f>
        <v>Гл. счетоводител:</v>
      </c>
      <c r="B138" s="420"/>
      <c r="C138" s="421" t="str">
        <f>Разходи!$E$91</f>
        <v>Изп. директор:</v>
      </c>
      <c r="D138" s="421"/>
      <c r="E138" s="201"/>
      <c r="F138" s="201"/>
    </row>
    <row r="139" spans="1:6">
      <c r="B139" s="201" t="str">
        <f>Разходи!$B$93</f>
        <v>/ П.Маринова/</v>
      </c>
      <c r="C139" s="421"/>
      <c r="D139" s="790" t="str">
        <f>Разходи!$F$93</f>
        <v>/ Янилин Павлов /</v>
      </c>
      <c r="E139" s="790"/>
      <c r="F139" s="790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F29 E19 F19 E17:F17 E21 E22 E60" unlockedFormula="1"/>
    <ignoredError sqref="E24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 activeCell="D8" sqref="D8:E10"/>
    </sheetView>
  </sheetViews>
  <sheetFormatPr defaultColWidth="0" defaultRowHeight="12.75" zeroHeight="1"/>
  <cols>
    <col min="1" max="1" width="4.42578125" style="286" customWidth="1"/>
    <col min="2" max="2" width="59" style="286" customWidth="1"/>
    <col min="3" max="3" width="7.5703125" style="286" bestFit="1" customWidth="1"/>
    <col min="4" max="4" width="10.5703125" style="286" customWidth="1"/>
    <col min="5" max="5" width="12.85546875" style="286" customWidth="1"/>
    <col min="6" max="6" width="9.140625" style="286" customWidth="1"/>
    <col min="7" max="16384" width="0" style="286" hidden="1"/>
  </cols>
  <sheetData>
    <row r="1" spans="1:6" ht="18.75">
      <c r="A1" s="284"/>
      <c r="B1" s="803">
        <v>5</v>
      </c>
      <c r="C1" s="803"/>
      <c r="D1" s="285"/>
      <c r="E1" s="132" t="s">
        <v>684</v>
      </c>
    </row>
    <row r="2" spans="1:6" ht="15.75">
      <c r="A2" s="287"/>
      <c r="B2" s="804" t="s">
        <v>203</v>
      </c>
      <c r="C2" s="804"/>
      <c r="D2" s="287"/>
      <c r="E2" s="287"/>
    </row>
    <row r="3" spans="1:6">
      <c r="A3" s="288"/>
      <c r="B3" s="805" t="str">
        <f>'ТИП-ПРОИЗ'!$B$3:$C$3</f>
        <v>"БРИКЕЛ" ЕАД</v>
      </c>
      <c r="C3" s="805"/>
      <c r="D3" s="289"/>
      <c r="E3" s="289"/>
    </row>
    <row r="4" spans="1:6" ht="13.5" thickBot="1">
      <c r="A4" s="288"/>
      <c r="B4" s="288"/>
      <c r="C4" s="288"/>
      <c r="D4" s="289"/>
      <c r="E4" s="289"/>
    </row>
    <row r="5" spans="1:6" ht="13.5" thickTop="1">
      <c r="A5" s="815" t="s">
        <v>37</v>
      </c>
      <c r="B5" s="817" t="s">
        <v>329</v>
      </c>
      <c r="C5" s="819" t="s">
        <v>2</v>
      </c>
      <c r="D5" s="290" t="s">
        <v>333</v>
      </c>
      <c r="E5" s="694" t="s">
        <v>334</v>
      </c>
    </row>
    <row r="6" spans="1:6">
      <c r="A6" s="816"/>
      <c r="B6" s="818"/>
      <c r="C6" s="820"/>
      <c r="D6" s="292">
        <f>'ТИП-ПРОИЗ'!E6</f>
        <v>2019.9998000000001</v>
      </c>
      <c r="E6" s="695">
        <f>'ТИП-ПРОИЗ'!F6</f>
        <v>2020</v>
      </c>
    </row>
    <row r="7" spans="1:6" ht="15.75">
      <c r="A7" s="293">
        <v>1</v>
      </c>
      <c r="B7" s="294" t="s">
        <v>384</v>
      </c>
      <c r="C7" s="295" t="s">
        <v>70</v>
      </c>
      <c r="D7" s="296">
        <f>SUM(D8:D9)</f>
        <v>13806.684999999999</v>
      </c>
      <c r="E7" s="521">
        <f>SUM(E8:E9)</f>
        <v>13806.684999999999</v>
      </c>
      <c r="F7" s="297"/>
    </row>
    <row r="8" spans="1:6">
      <c r="A8" s="298">
        <v>2</v>
      </c>
      <c r="B8" s="299" t="s">
        <v>184</v>
      </c>
      <c r="C8" s="295" t="s">
        <v>70</v>
      </c>
      <c r="D8" s="56">
        <v>6565.9740000000002</v>
      </c>
      <c r="E8" s="56">
        <v>6565.9740000000002</v>
      </c>
      <c r="F8" s="297"/>
    </row>
    <row r="9" spans="1:6">
      <c r="A9" s="293">
        <v>3</v>
      </c>
      <c r="B9" s="301" t="s">
        <v>181</v>
      </c>
      <c r="C9" s="295" t="s">
        <v>70</v>
      </c>
      <c r="D9" s="56">
        <v>7240.7109999999993</v>
      </c>
      <c r="E9" s="56">
        <v>7240.7109999999993</v>
      </c>
      <c r="F9" s="297"/>
    </row>
    <row r="10" spans="1:6">
      <c r="A10" s="298">
        <v>4</v>
      </c>
      <c r="B10" s="302" t="s">
        <v>180</v>
      </c>
      <c r="C10" s="295" t="s">
        <v>70</v>
      </c>
      <c r="D10" s="58">
        <v>4695.1379999999999</v>
      </c>
      <c r="E10" s="58">
        <v>4695.1379999999999</v>
      </c>
    </row>
    <row r="11" spans="1:6">
      <c r="A11" s="293">
        <v>5</v>
      </c>
      <c r="B11" s="302" t="s">
        <v>180</v>
      </c>
      <c r="C11" s="303" t="s">
        <v>7</v>
      </c>
      <c r="D11" s="304">
        <f>IF(D12=0,0,ROUND(D10/D12,4))</f>
        <v>0.25380000000000003</v>
      </c>
      <c r="E11" s="318">
        <f>IF(E12=0,0,ROUND(E10/E12,4))</f>
        <v>0.25380000000000003</v>
      </c>
    </row>
    <row r="12" spans="1:6">
      <c r="A12" s="298">
        <v>6</v>
      </c>
      <c r="B12" s="302" t="s">
        <v>38</v>
      </c>
      <c r="C12" s="295" t="s">
        <v>70</v>
      </c>
      <c r="D12" s="305">
        <f>SUM(D7,D10)</f>
        <v>18501.823</v>
      </c>
      <c r="E12" s="522">
        <f>SUM(E7,E10)</f>
        <v>18501.823</v>
      </c>
    </row>
    <row r="13" spans="1:6" ht="13.5">
      <c r="A13" s="293">
        <v>7</v>
      </c>
      <c r="B13" s="306" t="s">
        <v>338</v>
      </c>
      <c r="C13" s="295" t="s">
        <v>336</v>
      </c>
      <c r="D13" s="307">
        <f>D20*D12/1000</f>
        <v>599.11850816115532</v>
      </c>
      <c r="E13" s="308">
        <f>E20*E12/1000</f>
        <v>605.30267051939495</v>
      </c>
    </row>
    <row r="14" spans="1:6">
      <c r="A14" s="298">
        <v>8</v>
      </c>
      <c r="B14" s="302" t="s">
        <v>530</v>
      </c>
      <c r="C14" s="295" t="s">
        <v>336</v>
      </c>
      <c r="D14" s="307">
        <f>SUM(D15:D16)</f>
        <v>279.98875050000004</v>
      </c>
      <c r="E14" s="308">
        <f>SUM(E15:E16)</f>
        <v>261.98875050000004</v>
      </c>
    </row>
    <row r="15" spans="1:6">
      <c r="A15" s="293">
        <v>9</v>
      </c>
      <c r="B15" s="302" t="s">
        <v>337</v>
      </c>
      <c r="C15" s="295" t="s">
        <v>336</v>
      </c>
      <c r="D15" s="307">
        <f>Разходи!E9</f>
        <v>4.6013505000000006</v>
      </c>
      <c r="E15" s="308">
        <f>Разходи!H9</f>
        <v>4.6013505000000006</v>
      </c>
    </row>
    <row r="16" spans="1:6">
      <c r="A16" s="298">
        <v>10</v>
      </c>
      <c r="B16" s="302" t="s">
        <v>545</v>
      </c>
      <c r="C16" s="295" t="s">
        <v>336</v>
      </c>
      <c r="D16" s="307">
        <f>SUM(D17:D18)</f>
        <v>275.38740000000001</v>
      </c>
      <c r="E16" s="308">
        <f>SUM(E17:E18)</f>
        <v>257.38740000000001</v>
      </c>
    </row>
    <row r="17" spans="1:6">
      <c r="A17" s="293">
        <v>11</v>
      </c>
      <c r="B17" s="302" t="s">
        <v>339</v>
      </c>
      <c r="C17" s="295" t="s">
        <v>336</v>
      </c>
      <c r="D17" s="307">
        <f>Разходи!E11</f>
        <v>275.38740000000001</v>
      </c>
      <c r="E17" s="308">
        <f>Разходи!H11</f>
        <v>257.38740000000001</v>
      </c>
    </row>
    <row r="18" spans="1:6">
      <c r="A18" s="298">
        <v>12</v>
      </c>
      <c r="B18" s="302" t="s">
        <v>532</v>
      </c>
      <c r="C18" s="295" t="s">
        <v>336</v>
      </c>
      <c r="D18" s="307">
        <f>Разходи!E61</f>
        <v>0</v>
      </c>
      <c r="E18" s="308">
        <f>Разходи!H61</f>
        <v>0</v>
      </c>
    </row>
    <row r="19" spans="1:6">
      <c r="A19" s="293">
        <v>13</v>
      </c>
      <c r="B19" s="302" t="s">
        <v>463</v>
      </c>
      <c r="C19" s="295" t="s">
        <v>336</v>
      </c>
      <c r="D19" s="307">
        <f>D10*D20/1000</f>
        <v>152.03604932177495</v>
      </c>
      <c r="E19" s="308">
        <f>E10*E20/1000</f>
        <v>153.60538093230548</v>
      </c>
    </row>
    <row r="20" spans="1:6" ht="13.5">
      <c r="A20" s="298">
        <v>14</v>
      </c>
      <c r="B20" s="309" t="s">
        <v>327</v>
      </c>
      <c r="C20" s="295" t="s">
        <v>199</v>
      </c>
      <c r="D20" s="310">
        <f>'ТИП-ПРОИЗ'!E124</f>
        <v>32.38159332521748</v>
      </c>
      <c r="E20" s="523">
        <f>'ТИП-ПРОИЗ'!F124</f>
        <v>32.715839434816502</v>
      </c>
      <c r="F20" s="297"/>
    </row>
    <row r="21" spans="1:6">
      <c r="A21" s="293">
        <v>15</v>
      </c>
      <c r="B21" s="311" t="s">
        <v>531</v>
      </c>
      <c r="C21" s="295" t="s">
        <v>199</v>
      </c>
      <c r="D21" s="312">
        <f>IF(D7=0,0,SUM(D14,D19)/D7*1000)</f>
        <v>31.290986925664996</v>
      </c>
      <c r="E21" s="524">
        <f>IF(E7=0,0,SUM(E14,E19)/E7*1000)</f>
        <v>30.100935266670131</v>
      </c>
      <c r="F21" s="297"/>
    </row>
    <row r="22" spans="1:6">
      <c r="A22" s="298">
        <v>16</v>
      </c>
      <c r="B22" s="311" t="s">
        <v>708</v>
      </c>
      <c r="C22" s="295" t="s">
        <v>199</v>
      </c>
      <c r="D22" s="312">
        <f>IF(D7=0,0,D19/D7*1000)</f>
        <v>11.011770698163604</v>
      </c>
      <c r="E22" s="524">
        <f>IF(E7=0,0,E19/E7*1000)</f>
        <v>11.12543531863771</v>
      </c>
      <c r="F22" s="297"/>
    </row>
    <row r="23" spans="1:6" ht="15.75">
      <c r="A23" s="293">
        <v>17</v>
      </c>
      <c r="B23" s="534" t="s">
        <v>183</v>
      </c>
      <c r="C23" s="295" t="s">
        <v>199</v>
      </c>
      <c r="D23" s="313">
        <f>ROUNDUP(IF(D7=0,0,SUM(D20*D12,D14*1000)/D7),2)</f>
        <v>63.68</v>
      </c>
      <c r="E23" s="314">
        <f>ROUNDUP(IF(E7=0,0,SUM(E20*E12,E14*1000)/E7),2)</f>
        <v>62.82</v>
      </c>
    </row>
    <row r="24" spans="1:6" ht="13.5" thickBot="1">
      <c r="A24" s="525">
        <v>18</v>
      </c>
      <c r="B24" s="526" t="s">
        <v>543</v>
      </c>
      <c r="C24" s="527" t="s">
        <v>96</v>
      </c>
      <c r="D24" s="528">
        <f>D23*D7/1000</f>
        <v>879.20970079999995</v>
      </c>
      <c r="E24" s="529">
        <f>E23*E7/1000</f>
        <v>867.33595170000001</v>
      </c>
    </row>
    <row r="25" spans="1:6" ht="13.5" thickTop="1">
      <c r="A25" s="288"/>
      <c r="B25" s="288"/>
      <c r="C25" s="288"/>
      <c r="D25" s="289"/>
      <c r="E25" s="289"/>
    </row>
    <row r="26" spans="1:6" ht="13.5" thickBot="1">
      <c r="A26" s="288"/>
      <c r="B26" s="288"/>
      <c r="C26" s="288"/>
      <c r="D26" s="289"/>
      <c r="E26" s="289"/>
    </row>
    <row r="27" spans="1:6" ht="13.5" customHeight="1" thickTop="1">
      <c r="A27" s="809" t="s">
        <v>37</v>
      </c>
      <c r="B27" s="807" t="s">
        <v>328</v>
      </c>
      <c r="C27" s="811" t="s">
        <v>2</v>
      </c>
      <c r="D27" s="642" t="s">
        <v>333</v>
      </c>
      <c r="E27" s="291" t="s">
        <v>334</v>
      </c>
    </row>
    <row r="28" spans="1:6" ht="13.5" customHeight="1">
      <c r="A28" s="810"/>
      <c r="B28" s="808"/>
      <c r="C28" s="812"/>
      <c r="D28" s="643">
        <f>D6</f>
        <v>2019.9998000000001</v>
      </c>
      <c r="E28" s="675">
        <f>E6</f>
        <v>2020</v>
      </c>
    </row>
    <row r="29" spans="1:6">
      <c r="A29" s="315">
        <v>1</v>
      </c>
      <c r="B29" s="316">
        <v>2</v>
      </c>
      <c r="C29" s="317">
        <v>3</v>
      </c>
      <c r="D29" s="640">
        <v>5</v>
      </c>
      <c r="E29" s="641">
        <v>8</v>
      </c>
    </row>
    <row r="30" spans="1:6" ht="15.75">
      <c r="A30" s="298">
        <v>1</v>
      </c>
      <c r="B30" s="535" t="s">
        <v>331</v>
      </c>
      <c r="C30" s="295" t="s">
        <v>70</v>
      </c>
      <c r="D30" s="80"/>
      <c r="E30" s="81"/>
    </row>
    <row r="31" spans="1:6">
      <c r="A31" s="298">
        <v>2</v>
      </c>
      <c r="B31" s="302" t="s">
        <v>180</v>
      </c>
      <c r="C31" s="295" t="s">
        <v>70</v>
      </c>
      <c r="D31" s="56"/>
      <c r="E31" s="57"/>
    </row>
    <row r="32" spans="1:6">
      <c r="A32" s="298">
        <v>3</v>
      </c>
      <c r="B32" s="302" t="s">
        <v>180</v>
      </c>
      <c r="C32" s="303" t="s">
        <v>7</v>
      </c>
      <c r="D32" s="304">
        <f>IF(D33=0,0,ROUND(D31/D33,4))</f>
        <v>0</v>
      </c>
      <c r="E32" s="318">
        <f>IF(E33=0,0,ROUND(E31/E33,4))</f>
        <v>0</v>
      </c>
    </row>
    <row r="33" spans="1:6">
      <c r="A33" s="298">
        <v>4</v>
      </c>
      <c r="B33" s="302" t="s">
        <v>332</v>
      </c>
      <c r="C33" s="295" t="s">
        <v>70</v>
      </c>
      <c r="D33" s="319">
        <f>SUM(D30:D31)</f>
        <v>0</v>
      </c>
      <c r="E33" s="320">
        <f>SUM(E30:E31)</f>
        <v>0</v>
      </c>
      <c r="F33" s="297"/>
    </row>
    <row r="34" spans="1:6">
      <c r="A34" s="298">
        <v>5</v>
      </c>
      <c r="B34" s="321" t="s">
        <v>340</v>
      </c>
      <c r="C34" s="295" t="s">
        <v>336</v>
      </c>
      <c r="D34" s="307">
        <f>D33*D41/1000</f>
        <v>0</v>
      </c>
      <c r="E34" s="308">
        <f>E33*E41/1000</f>
        <v>0</v>
      </c>
      <c r="F34" s="297"/>
    </row>
    <row r="35" spans="1:6">
      <c r="A35" s="298">
        <v>6</v>
      </c>
      <c r="B35" s="302" t="s">
        <v>341</v>
      </c>
      <c r="C35" s="295" t="s">
        <v>336</v>
      </c>
      <c r="D35" s="307">
        <f>SUM(D36:D37)</f>
        <v>0</v>
      </c>
      <c r="E35" s="308">
        <f>SUM(E36:E37)</f>
        <v>0</v>
      </c>
      <c r="F35" s="297"/>
    </row>
    <row r="36" spans="1:6">
      <c r="A36" s="298">
        <v>7</v>
      </c>
      <c r="B36" s="302" t="s">
        <v>342</v>
      </c>
      <c r="C36" s="295" t="s">
        <v>336</v>
      </c>
      <c r="D36" s="56"/>
      <c r="E36" s="57"/>
      <c r="F36" s="297"/>
    </row>
    <row r="37" spans="1:6">
      <c r="A37" s="298">
        <v>8</v>
      </c>
      <c r="B37" s="302" t="s">
        <v>544</v>
      </c>
      <c r="C37" s="295" t="s">
        <v>336</v>
      </c>
      <c r="D37" s="307">
        <f>SUM(D38:D39)</f>
        <v>0</v>
      </c>
      <c r="E37" s="308">
        <f>SUM(E38:E39)</f>
        <v>0</v>
      </c>
      <c r="F37" s="297"/>
    </row>
    <row r="38" spans="1:6">
      <c r="A38" s="298">
        <v>9</v>
      </c>
      <c r="B38" s="302" t="s">
        <v>343</v>
      </c>
      <c r="C38" s="295" t="s">
        <v>336</v>
      </c>
      <c r="D38" s="307"/>
      <c r="E38" s="308"/>
      <c r="F38" s="297"/>
    </row>
    <row r="39" spans="1:6">
      <c r="A39" s="298">
        <v>10</v>
      </c>
      <c r="B39" s="302" t="s">
        <v>546</v>
      </c>
      <c r="C39" s="295" t="s">
        <v>336</v>
      </c>
      <c r="D39" s="307"/>
      <c r="E39" s="308"/>
      <c r="F39" s="297"/>
    </row>
    <row r="40" spans="1:6">
      <c r="A40" s="298">
        <v>11</v>
      </c>
      <c r="B40" s="302" t="s">
        <v>464</v>
      </c>
      <c r="C40" s="295" t="s">
        <v>336</v>
      </c>
      <c r="D40" s="307">
        <f>D31*D41/1000</f>
        <v>0</v>
      </c>
      <c r="E40" s="308">
        <f>E31*E41/1000</f>
        <v>0</v>
      </c>
      <c r="F40" s="297"/>
    </row>
    <row r="41" spans="1:6" ht="13.5">
      <c r="A41" s="298">
        <v>12</v>
      </c>
      <c r="B41" s="309" t="s">
        <v>325</v>
      </c>
      <c r="C41" s="295" t="s">
        <v>199</v>
      </c>
      <c r="D41" s="312">
        <f>'ТИП-ПРОИЗ'!E125</f>
        <v>39.664554591537751</v>
      </c>
      <c r="E41" s="524">
        <f>'ТИП-ПРОИЗ'!F125</f>
        <v>39.865408780186975</v>
      </c>
      <c r="F41" s="297"/>
    </row>
    <row r="42" spans="1:6">
      <c r="A42" s="298">
        <v>13</v>
      </c>
      <c r="B42" s="311" t="s">
        <v>326</v>
      </c>
      <c r="C42" s="295" t="s">
        <v>199</v>
      </c>
      <c r="D42" s="312">
        <f>IF(D30=0,0,SUM(D35,D40)/D30*1000)</f>
        <v>0</v>
      </c>
      <c r="E42" s="524">
        <f>IF(E30=0,0,SUM(E35,E40)/E30*1000)</f>
        <v>0</v>
      </c>
      <c r="F42" s="297"/>
    </row>
    <row r="43" spans="1:6">
      <c r="A43" s="298">
        <v>14</v>
      </c>
      <c r="B43" s="311" t="s">
        <v>709</v>
      </c>
      <c r="C43" s="295" t="s">
        <v>199</v>
      </c>
      <c r="D43" s="312">
        <f>IF(D30=0,0,D40/D30*1000)</f>
        <v>0</v>
      </c>
      <c r="E43" s="524">
        <f>IF(E30=0,0,E40/E30*1000)</f>
        <v>0</v>
      </c>
      <c r="F43" s="297"/>
    </row>
    <row r="44" spans="1:6" ht="15.75">
      <c r="A44" s="298">
        <v>15</v>
      </c>
      <c r="B44" s="534" t="s">
        <v>182</v>
      </c>
      <c r="C44" s="295" t="s">
        <v>199</v>
      </c>
      <c r="D44" s="322">
        <f>ROUNDUP(IF(D30=0,0,SUM(D41*D33,D35*1000)/D30),4)</f>
        <v>0</v>
      </c>
      <c r="E44" s="323">
        <f>ROUNDUP(IF(E30=0,0,SUM(E41*E33,E35*1000)/E30),4)</f>
        <v>0</v>
      </c>
      <c r="F44" s="297"/>
    </row>
    <row r="45" spans="1:6" ht="13.5" thickBot="1">
      <c r="A45" s="525">
        <v>16</v>
      </c>
      <c r="B45" s="526" t="s">
        <v>335</v>
      </c>
      <c r="C45" s="527" t="s">
        <v>96</v>
      </c>
      <c r="D45" s="528">
        <f>D44*D30/1000</f>
        <v>0</v>
      </c>
      <c r="E45" s="529">
        <f>E44*E30/1000</f>
        <v>0</v>
      </c>
    </row>
    <row r="46" spans="1:6" s="121" customFormat="1" ht="13.5" thickTop="1"/>
    <row r="47" spans="1:6" s="121" customFormat="1" ht="13.5" thickBot="1"/>
    <row r="48" spans="1:6" ht="13.5" thickTop="1">
      <c r="A48" s="821" t="s">
        <v>37</v>
      </c>
      <c r="B48" s="823" t="s">
        <v>712</v>
      </c>
      <c r="C48" s="819" t="s">
        <v>2</v>
      </c>
      <c r="D48" s="290" t="s">
        <v>333</v>
      </c>
      <c r="E48" s="291" t="s">
        <v>334</v>
      </c>
    </row>
    <row r="49" spans="1:5">
      <c r="A49" s="822"/>
      <c r="B49" s="824"/>
      <c r="C49" s="820"/>
      <c r="D49" s="292">
        <f>D6</f>
        <v>2019.9998000000001</v>
      </c>
      <c r="E49" s="674">
        <f>E6</f>
        <v>2020</v>
      </c>
    </row>
    <row r="50" spans="1:5" ht="13.5">
      <c r="A50" s="550">
        <v>1</v>
      </c>
      <c r="B50" s="546" t="s">
        <v>201</v>
      </c>
      <c r="C50" s="324" t="s">
        <v>330</v>
      </c>
      <c r="D50" s="325">
        <f>SUM(D51,D54)</f>
        <v>0</v>
      </c>
      <c r="E50" s="539">
        <f>SUM(E51,E54)</f>
        <v>0</v>
      </c>
    </row>
    <row r="51" spans="1:5" ht="13.5">
      <c r="A51" s="551">
        <v>2</v>
      </c>
      <c r="B51" s="547" t="s">
        <v>202</v>
      </c>
      <c r="C51" s="324" t="s">
        <v>330</v>
      </c>
      <c r="D51" s="307">
        <f>SUM(D52:D53)</f>
        <v>0</v>
      </c>
      <c r="E51" s="308">
        <f>SUM(E52:E53)</f>
        <v>0</v>
      </c>
    </row>
    <row r="52" spans="1:5">
      <c r="A52" s="550">
        <v>3</v>
      </c>
      <c r="B52" s="548" t="s">
        <v>185</v>
      </c>
      <c r="C52" s="324" t="s">
        <v>330</v>
      </c>
      <c r="D52" s="300"/>
      <c r="E52" s="540"/>
    </row>
    <row r="53" spans="1:5">
      <c r="A53" s="551">
        <v>4</v>
      </c>
      <c r="B53" s="548" t="s">
        <v>186</v>
      </c>
      <c r="C53" s="324" t="s">
        <v>330</v>
      </c>
      <c r="D53" s="300"/>
      <c r="E53" s="540"/>
    </row>
    <row r="54" spans="1:5" ht="13.5">
      <c r="A54" s="550">
        <v>5</v>
      </c>
      <c r="B54" s="547" t="s">
        <v>200</v>
      </c>
      <c r="C54" s="324" t="s">
        <v>330</v>
      </c>
      <c r="D54" s="307">
        <f>SUM(D55:D56)</f>
        <v>0</v>
      </c>
      <c r="E54" s="308">
        <f>SUM(E55:E56)</f>
        <v>0</v>
      </c>
    </row>
    <row r="55" spans="1:5">
      <c r="A55" s="551">
        <v>6</v>
      </c>
      <c r="B55" s="548" t="s">
        <v>185</v>
      </c>
      <c r="C55" s="324" t="s">
        <v>330</v>
      </c>
      <c r="D55" s="300"/>
      <c r="E55" s="540"/>
    </row>
    <row r="56" spans="1:5">
      <c r="A56" s="552">
        <v>7</v>
      </c>
      <c r="B56" s="549" t="s">
        <v>186</v>
      </c>
      <c r="C56" s="542" t="s">
        <v>330</v>
      </c>
      <c r="D56" s="543"/>
      <c r="E56" s="544"/>
    </row>
    <row r="57" spans="1:5" ht="13.5" thickBot="1">
      <c r="A57" s="553">
        <v>8</v>
      </c>
      <c r="B57" s="581" t="s">
        <v>710</v>
      </c>
      <c r="C57" s="541" t="s">
        <v>711</v>
      </c>
      <c r="D57" s="541">
        <f>'ТИП-ПРОИЗ'!E132</f>
        <v>7</v>
      </c>
      <c r="E57" s="545">
        <f>'ТИП-ПРОИЗ'!F132</f>
        <v>7</v>
      </c>
    </row>
    <row r="58" spans="1:5" ht="13.5" thickTop="1">
      <c r="A58" s="536"/>
      <c r="B58" s="537"/>
      <c r="C58" s="538"/>
      <c r="D58" s="538"/>
      <c r="E58" s="538"/>
    </row>
    <row r="59" spans="1:5" ht="13.5" thickBot="1"/>
    <row r="60" spans="1:5" ht="13.5" thickTop="1">
      <c r="A60" s="813" t="s">
        <v>40</v>
      </c>
      <c r="B60" s="554" t="s">
        <v>187</v>
      </c>
      <c r="C60" s="555" t="s">
        <v>3</v>
      </c>
      <c r="D60" s="556">
        <f>SUM('ТИП-ПРОИЗ'!E122,Разходи!E8)</f>
        <v>62612.736582023404</v>
      </c>
      <c r="E60" s="557">
        <f>SUM('ТИП-ПРОИЗ'!F122,Разходи!H8)</f>
        <v>60162.720523323827</v>
      </c>
    </row>
    <row r="61" spans="1:5" ht="13.5" thickBot="1">
      <c r="A61" s="814"/>
      <c r="B61" s="558" t="s">
        <v>188</v>
      </c>
      <c r="C61" s="559" t="s">
        <v>3</v>
      </c>
      <c r="D61" s="560">
        <f>ROUND(SUM(D7*D23,D30*D44)/1000,0)</f>
        <v>879</v>
      </c>
      <c r="E61" s="561">
        <f>ROUND(SUM(E7*E23,E30*E44)/1000,0)</f>
        <v>867</v>
      </c>
    </row>
    <row r="62" spans="1:5" ht="13.5" thickTop="1">
      <c r="A62" s="326"/>
      <c r="B62" s="327"/>
      <c r="C62" s="327"/>
      <c r="D62" s="327"/>
      <c r="E62" s="327"/>
    </row>
    <row r="63" spans="1:5">
      <c r="A63" s="327"/>
      <c r="B63" s="327"/>
      <c r="C63" s="327"/>
      <c r="D63" s="327"/>
      <c r="E63" s="327"/>
    </row>
    <row r="64" spans="1:5">
      <c r="A64" s="327"/>
      <c r="B64" s="327"/>
      <c r="C64" s="327"/>
      <c r="D64" s="327"/>
      <c r="E64" s="327"/>
    </row>
    <row r="65" spans="1:5">
      <c r="A65" s="327"/>
      <c r="B65" s="327"/>
      <c r="C65" s="327"/>
      <c r="D65" s="327"/>
      <c r="E65" s="327"/>
    </row>
    <row r="66" spans="1:5" ht="15.75">
      <c r="A66" s="328" t="str">
        <f>Разходи!$A$91</f>
        <v>Гл. счетоводител:</v>
      </c>
      <c r="B66" s="329"/>
      <c r="D66" s="330"/>
      <c r="E66" s="330"/>
    </row>
    <row r="67" spans="1:5">
      <c r="A67" s="328"/>
      <c r="B67" s="331" t="str">
        <f>Разходи!$B$93</f>
        <v>/ П.Маринова/</v>
      </c>
      <c r="D67" s="806" t="str">
        <f>Разходи!$F$93</f>
        <v>/ Янилин Павлов /</v>
      </c>
      <c r="E67" s="806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A27:A28"/>
    <mergeCell ref="C27:C28"/>
    <mergeCell ref="A60:A61"/>
    <mergeCell ref="A5:A6"/>
    <mergeCell ref="B5:B6"/>
    <mergeCell ref="C5:C6"/>
    <mergeCell ref="A48:A49"/>
    <mergeCell ref="B48:B49"/>
    <mergeCell ref="C48:C49"/>
    <mergeCell ref="B1:C1"/>
    <mergeCell ref="B2:C2"/>
    <mergeCell ref="B3:C3"/>
    <mergeCell ref="D67:E67"/>
    <mergeCell ref="B27:B28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topLeftCell="A19" zoomScale="110" zoomScaleNormal="110" workbookViewId="0">
      <selection activeCell="F46" sqref="F46"/>
    </sheetView>
  </sheetViews>
  <sheetFormatPr defaultColWidth="0" defaultRowHeight="0" customHeight="1" zeroHeight="1"/>
  <cols>
    <col min="1" max="1" width="5.140625" style="609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5"/>
      <c r="B1" s="825">
        <v>6</v>
      </c>
      <c r="C1" s="825"/>
      <c r="D1" s="586"/>
      <c r="E1" s="586"/>
      <c r="F1" s="132" t="s">
        <v>685</v>
      </c>
    </row>
    <row r="2" spans="1:58" ht="14.25" customHeight="1">
      <c r="A2" s="586"/>
      <c r="B2" s="585"/>
      <c r="C2" s="586"/>
      <c r="D2" s="586"/>
      <c r="E2" s="586"/>
      <c r="F2" s="586"/>
    </row>
    <row r="3" spans="1:58" ht="14.25" customHeight="1">
      <c r="A3" s="587"/>
      <c r="B3" s="826" t="s">
        <v>189</v>
      </c>
      <c r="C3" s="826"/>
      <c r="D3" s="588"/>
      <c r="E3" s="588"/>
      <c r="F3" s="588"/>
    </row>
    <row r="4" spans="1:58" ht="14.25" customHeight="1">
      <c r="A4" s="589"/>
      <c r="B4" s="827" t="str">
        <f>'ТИП-ПРОИЗ'!$B$3:$C$3</f>
        <v>"БРИКЕЛ" ЕАД</v>
      </c>
      <c r="C4" s="827"/>
      <c r="D4" s="589"/>
      <c r="E4" s="589"/>
      <c r="F4" s="589"/>
    </row>
    <row r="5" spans="1:58" ht="14.25" customHeight="1" thickBot="1">
      <c r="A5" s="590"/>
      <c r="B5" s="591"/>
      <c r="C5" s="591"/>
      <c r="D5" s="591"/>
      <c r="E5" s="591"/>
      <c r="F5" s="591"/>
    </row>
    <row r="6" spans="1:58" ht="14.25" customHeight="1" thickTop="1" thickBot="1">
      <c r="A6" s="829" t="s">
        <v>0</v>
      </c>
      <c r="B6" s="831" t="s">
        <v>160</v>
      </c>
      <c r="C6" s="831" t="s">
        <v>42</v>
      </c>
      <c r="D6" s="831" t="s">
        <v>14</v>
      </c>
      <c r="E6" s="290" t="s">
        <v>333</v>
      </c>
      <c r="F6" s="694" t="s">
        <v>334</v>
      </c>
    </row>
    <row r="7" spans="1:58" ht="13.5" thickTop="1">
      <c r="A7" s="830"/>
      <c r="B7" s="832"/>
      <c r="C7" s="832"/>
      <c r="D7" s="832"/>
      <c r="E7" s="76">
        <f>'ТИП-ПРОИЗ'!E6</f>
        <v>2019.9998000000001</v>
      </c>
      <c r="F7" s="676">
        <f>'ТИП-ПРОИЗ'!F6</f>
        <v>2020</v>
      </c>
    </row>
    <row r="8" spans="1:58" ht="13.5" customHeight="1">
      <c r="A8" s="592">
        <v>1</v>
      </c>
      <c r="B8" s="593">
        <v>2</v>
      </c>
      <c r="C8" s="593">
        <v>3</v>
      </c>
      <c r="D8" s="594">
        <v>4</v>
      </c>
      <c r="E8" s="593">
        <v>5</v>
      </c>
      <c r="F8" s="595">
        <v>6</v>
      </c>
      <c r="G8" s="596"/>
    </row>
    <row r="9" spans="1:58" ht="14.25" customHeight="1">
      <c r="A9" s="597">
        <v>1</v>
      </c>
      <c r="B9" s="598" t="s">
        <v>43</v>
      </c>
      <c r="C9" s="599" t="s">
        <v>44</v>
      </c>
      <c r="D9" s="576" t="s">
        <v>23</v>
      </c>
      <c r="E9" s="600">
        <v>3421880</v>
      </c>
      <c r="F9" s="601">
        <v>3292478</v>
      </c>
    </row>
    <row r="10" spans="1:58" ht="14.25" customHeight="1">
      <c r="A10" s="597">
        <v>2</v>
      </c>
      <c r="B10" s="598" t="s">
        <v>45</v>
      </c>
      <c r="C10" s="599" t="s">
        <v>212</v>
      </c>
      <c r="D10" s="576" t="s">
        <v>46</v>
      </c>
      <c r="E10" s="604">
        <v>3456.96</v>
      </c>
      <c r="F10" s="601">
        <v>3456.92</v>
      </c>
    </row>
    <row r="11" spans="1:58" ht="14.25" customHeight="1">
      <c r="A11" s="597">
        <v>3</v>
      </c>
      <c r="B11" s="598" t="s">
        <v>47</v>
      </c>
      <c r="C11" s="599" t="s">
        <v>48</v>
      </c>
      <c r="D11" s="576" t="s">
        <v>23</v>
      </c>
      <c r="E11" s="602">
        <f>ROUND(E9*1.05,0)</f>
        <v>3592974</v>
      </c>
      <c r="F11" s="603">
        <f>ROUND(F9*1.05,0)</f>
        <v>3457102</v>
      </c>
    </row>
    <row r="12" spans="1:58" ht="14.25" customHeight="1">
      <c r="A12" s="597">
        <v>4</v>
      </c>
      <c r="B12" s="598" t="s">
        <v>49</v>
      </c>
      <c r="C12" s="599" t="s">
        <v>50</v>
      </c>
      <c r="D12" s="576" t="s">
        <v>51</v>
      </c>
      <c r="E12" s="604">
        <v>227.96</v>
      </c>
      <c r="F12" s="601">
        <v>227.96</v>
      </c>
    </row>
    <row r="13" spans="1:58" ht="14.25" customHeight="1">
      <c r="A13" s="597">
        <v>5</v>
      </c>
      <c r="B13" s="598" t="s">
        <v>52</v>
      </c>
      <c r="C13" s="599" t="s">
        <v>53</v>
      </c>
      <c r="D13" s="576" t="s">
        <v>46</v>
      </c>
      <c r="E13" s="604">
        <v>984.44</v>
      </c>
      <c r="F13" s="601">
        <v>984.44</v>
      </c>
    </row>
    <row r="14" spans="1:58" ht="12.75" customHeight="1">
      <c r="A14" s="597">
        <v>6</v>
      </c>
      <c r="B14" s="598" t="s">
        <v>204</v>
      </c>
      <c r="C14" s="605" t="s">
        <v>219</v>
      </c>
      <c r="D14" s="576" t="s">
        <v>70</v>
      </c>
      <c r="E14" s="602">
        <f>IF(E9=0,0,(E9*E10-E11*E13)/3600)</f>
        <v>2303398.6000666665</v>
      </c>
      <c r="F14" s="603">
        <f>IF(F9=0,0,(F9*F10-F11*F13)/3600)</f>
        <v>2216256.5430222224</v>
      </c>
      <c r="H14" s="606"/>
      <c r="I14" s="606"/>
      <c r="J14" s="606"/>
      <c r="K14" s="606"/>
      <c r="L14" s="606"/>
      <c r="M14" s="606"/>
      <c r="N14" s="606"/>
      <c r="O14" s="606"/>
      <c r="P14" s="606"/>
      <c r="Q14" s="606"/>
      <c r="R14" s="606"/>
      <c r="S14" s="606"/>
      <c r="T14" s="606"/>
      <c r="U14" s="606"/>
      <c r="V14" s="606"/>
      <c r="W14" s="606"/>
      <c r="X14" s="606"/>
      <c r="Y14" s="606"/>
      <c r="Z14" s="606"/>
      <c r="AA14" s="606"/>
      <c r="AB14" s="606"/>
      <c r="AC14" s="606"/>
      <c r="AD14" s="606"/>
      <c r="AE14" s="606"/>
      <c r="AF14" s="606"/>
      <c r="AG14" s="606"/>
      <c r="AH14" s="606"/>
      <c r="AI14" s="606"/>
      <c r="AJ14" s="606"/>
      <c r="AK14" s="606"/>
      <c r="AL14" s="606"/>
      <c r="AM14" s="606"/>
      <c r="AN14" s="606"/>
      <c r="AO14" s="606"/>
      <c r="AP14" s="606"/>
      <c r="AQ14" s="606"/>
      <c r="AR14" s="606"/>
      <c r="AS14" s="606"/>
      <c r="AT14" s="606"/>
      <c r="AU14" s="606"/>
      <c r="AV14" s="606"/>
      <c r="AW14" s="606"/>
      <c r="AX14" s="606"/>
      <c r="AY14" s="606"/>
      <c r="AZ14" s="606"/>
      <c r="BA14" s="606"/>
      <c r="BB14" s="606"/>
      <c r="BC14" s="606"/>
      <c r="BD14" s="606"/>
      <c r="BE14" s="606"/>
      <c r="BF14" s="606"/>
    </row>
    <row r="15" spans="1:58" ht="12.75" customHeight="1">
      <c r="A15" s="597">
        <v>7</v>
      </c>
      <c r="B15" s="598" t="s">
        <v>413</v>
      </c>
      <c r="C15" s="60" t="s">
        <v>414</v>
      </c>
      <c r="D15" s="576" t="s">
        <v>7</v>
      </c>
      <c r="E15" s="610">
        <f>IF(E9=0,0,IF('ТИП-ПРОИЗ'!E32=0,0,E14/'ТИП-ПРОИЗ'!E32))</f>
        <v>0.84142295324353789</v>
      </c>
      <c r="F15" s="607">
        <f>IF(F9=0,0,IF('ТИП-ПРОИЗ'!F32=0,0,F14/'ТИП-ПРОИЗ'!F32))</f>
        <v>0.8414091863816866</v>
      </c>
      <c r="H15" s="606"/>
      <c r="I15" s="606"/>
      <c r="J15" s="606"/>
      <c r="K15" s="606"/>
      <c r="L15" s="606"/>
      <c r="M15" s="606"/>
      <c r="N15" s="606"/>
      <c r="O15" s="606"/>
      <c r="P15" s="606"/>
      <c r="Q15" s="606"/>
      <c r="R15" s="606"/>
      <c r="S15" s="606"/>
      <c r="T15" s="606"/>
      <c r="U15" s="606"/>
      <c r="V15" s="606"/>
      <c r="W15" s="606"/>
      <c r="X15" s="606"/>
      <c r="Y15" s="606"/>
      <c r="Z15" s="606"/>
      <c r="AA15" s="606"/>
      <c r="AB15" s="606"/>
      <c r="AC15" s="606"/>
      <c r="AD15" s="606"/>
      <c r="AE15" s="606"/>
      <c r="AF15" s="606"/>
      <c r="AG15" s="606"/>
      <c r="AH15" s="606"/>
      <c r="AI15" s="606"/>
      <c r="AJ15" s="606"/>
      <c r="AK15" s="606"/>
      <c r="AL15" s="606"/>
      <c r="AM15" s="606"/>
      <c r="AN15" s="606"/>
      <c r="AO15" s="606"/>
      <c r="AP15" s="606"/>
      <c r="AQ15" s="606"/>
      <c r="AR15" s="606"/>
      <c r="AS15" s="606"/>
      <c r="AT15" s="606"/>
      <c r="AU15" s="606"/>
      <c r="AV15" s="606"/>
      <c r="AW15" s="606"/>
      <c r="AX15" s="606"/>
      <c r="AY15" s="606"/>
      <c r="AZ15" s="606"/>
      <c r="BA15" s="606"/>
      <c r="BB15" s="606"/>
      <c r="BC15" s="606"/>
      <c r="BD15" s="606"/>
      <c r="BE15" s="606"/>
      <c r="BF15" s="606"/>
    </row>
    <row r="16" spans="1:58" ht="12.75" customHeight="1">
      <c r="A16" s="597">
        <v>8</v>
      </c>
      <c r="B16" s="608" t="s">
        <v>36</v>
      </c>
      <c r="C16" s="60" t="s">
        <v>725</v>
      </c>
      <c r="D16" s="576" t="s">
        <v>86</v>
      </c>
      <c r="E16" s="669">
        <v>0.98099999999999998</v>
      </c>
      <c r="F16" s="669">
        <v>0.98099999999999998</v>
      </c>
    </row>
    <row r="17" spans="1:7" ht="14.25">
      <c r="A17" s="597">
        <v>9</v>
      </c>
      <c r="B17" s="633" t="s">
        <v>726</v>
      </c>
      <c r="C17" s="634" t="s">
        <v>747</v>
      </c>
      <c r="D17" s="576" t="s">
        <v>7</v>
      </c>
      <c r="E17" s="671">
        <v>0.81010000000000004</v>
      </c>
      <c r="F17" s="670">
        <v>0.81020000000000003</v>
      </c>
    </row>
    <row r="18" spans="1:7" ht="14.25">
      <c r="A18" s="597">
        <v>10</v>
      </c>
      <c r="B18" s="633" t="s">
        <v>727</v>
      </c>
      <c r="C18" s="634" t="s">
        <v>748</v>
      </c>
      <c r="D18" s="576" t="s">
        <v>7</v>
      </c>
      <c r="E18" s="671">
        <v>0.39369999999999999</v>
      </c>
      <c r="F18" s="670">
        <v>0.39360000000000001</v>
      </c>
    </row>
    <row r="19" spans="1:7" ht="14.25">
      <c r="A19" s="597">
        <v>11</v>
      </c>
      <c r="B19" s="633" t="s">
        <v>389</v>
      </c>
      <c r="C19" s="635" t="s">
        <v>733</v>
      </c>
      <c r="D19" s="576" t="s">
        <v>7</v>
      </c>
      <c r="E19" s="582">
        <f>SUM(E20:E21)</f>
        <v>0.79129554519890011</v>
      </c>
      <c r="F19" s="584">
        <f>SUM(F20:F21)</f>
        <v>0.79171630031313933</v>
      </c>
    </row>
    <row r="20" spans="1:7" ht="14.25">
      <c r="A20" s="597">
        <v>12</v>
      </c>
      <c r="B20" s="633" t="s">
        <v>243</v>
      </c>
      <c r="C20" s="634" t="s">
        <v>749</v>
      </c>
      <c r="D20" s="576" t="s">
        <v>7</v>
      </c>
      <c r="E20" s="610">
        <f>IF('ТИП-ПРОИЗ'!E32=0,0,SUM('ТИП-ПРОИЗ'!E8,-'ТИП-ПРОИЗ'!E45)/'ТИП-ПРОИЗ'!E32)</f>
        <v>0.57530317598114122</v>
      </c>
      <c r="F20" s="583">
        <f>IF('ТИП-ПРОИЗ'!F32=0,0,SUM('ТИП-ПРОИЗ'!F8,-'ТИП-ПРОИЗ'!F45)/'ТИП-ПРОИЗ'!F32)</f>
        <v>0.57171702682535297</v>
      </c>
    </row>
    <row r="21" spans="1:7" ht="17.25" customHeight="1">
      <c r="A21" s="597">
        <v>13</v>
      </c>
      <c r="B21" s="633" t="s">
        <v>242</v>
      </c>
      <c r="C21" s="634" t="s">
        <v>750</v>
      </c>
      <c r="D21" s="576" t="s">
        <v>7</v>
      </c>
      <c r="E21" s="610">
        <f>IF('ТИП-ПРОИЗ'!E32=0,0,'ТИП-ПРОИЗ'!E27/'ТИП-ПРОИЗ'!E32)</f>
        <v>0.21599236921775894</v>
      </c>
      <c r="F21" s="583">
        <f>IF('ТИП-ПРОИЗ'!F32=0,0,'ТИП-ПРОИЗ'!F27/'ТИП-ПРОИЗ'!F32)</f>
        <v>0.21999927348778631</v>
      </c>
      <c r="G21" s="687"/>
    </row>
    <row r="22" spans="1:7" ht="20.25" customHeight="1">
      <c r="A22" s="597">
        <v>21</v>
      </c>
      <c r="B22" s="652" t="s">
        <v>755</v>
      </c>
      <c r="C22" s="648" t="s">
        <v>756</v>
      </c>
      <c r="D22" s="616" t="s">
        <v>7</v>
      </c>
      <c r="E22" s="704">
        <f>0.3927</f>
        <v>0.39269999999999999</v>
      </c>
      <c r="F22" s="704">
        <f>0.3927</f>
        <v>0.39269999999999999</v>
      </c>
      <c r="G22" s="687"/>
    </row>
    <row r="23" spans="1:7" ht="12.75">
      <c r="A23" s="597">
        <v>22</v>
      </c>
      <c r="B23" s="613" t="s">
        <v>757</v>
      </c>
      <c r="C23" s="649"/>
      <c r="D23" s="650"/>
      <c r="E23" s="611">
        <f>E22*'ТИП-ПРОИЗ'!E32</f>
        <v>1075017.7740686999</v>
      </c>
      <c r="F23" s="612">
        <f>F22*'ТИП-ПРОИЗ'!F32</f>
        <v>1034364.6807416999</v>
      </c>
    </row>
    <row r="24" spans="1:7" ht="15.75">
      <c r="A24" s="597">
        <v>23</v>
      </c>
      <c r="B24" s="563" t="s">
        <v>758</v>
      </c>
      <c r="C24" s="651"/>
      <c r="D24" s="616"/>
      <c r="E24" s="88">
        <f>IF(SUM('ТИП-ПРОИЗ'!E32,'ТИП-ПРОИЗ'!E49)=0,0,E23/'ТИП-ПРОИЗ'!E69)</f>
        <v>0.39270000001505068</v>
      </c>
      <c r="F24" s="502">
        <f>IF(SUM('ТИП-ПРОИЗ'!F32,'ТИП-ПРОИЗ'!F49)=0,0,F23/'ТИП-ПРОИЗ'!F69)</f>
        <v>0.392700000072293</v>
      </c>
    </row>
    <row r="25" spans="1:7" ht="12.75">
      <c r="A25" s="597">
        <v>24</v>
      </c>
      <c r="B25" s="74" t="s">
        <v>391</v>
      </c>
      <c r="C25" s="651"/>
      <c r="D25" s="651"/>
      <c r="E25" s="77">
        <f>'ТИП-ПРОИЗ'!E27*'ТИП-ПРОИЗ'!E42/1000</f>
        <v>132074.20220813001</v>
      </c>
      <c r="F25" s="503">
        <f>'ТИП-ПРОИЗ'!F27*'ТИП-ПРОИЗ'!F42/1000</f>
        <v>127078.66969140001</v>
      </c>
      <c r="G25" s="86"/>
    </row>
    <row r="26" spans="1:7" ht="12.75">
      <c r="A26" s="597">
        <v>25</v>
      </c>
      <c r="B26" s="74" t="s">
        <v>390</v>
      </c>
      <c r="C26" s="651"/>
      <c r="D26" s="651"/>
      <c r="E26" s="84">
        <f>SUM('ТИП-ПРОИЗ'!E68,-E25)</f>
        <v>204247.70315898003</v>
      </c>
      <c r="F26" s="504">
        <f>SUM('ТИП-ПРОИЗ'!F68,-F25)</f>
        <v>196524.81725759851</v>
      </c>
      <c r="G26" s="86"/>
    </row>
    <row r="27" spans="1:7" ht="14.25">
      <c r="A27" s="597">
        <v>26</v>
      </c>
      <c r="B27" s="652" t="s">
        <v>759</v>
      </c>
      <c r="C27" s="653" t="s">
        <v>760</v>
      </c>
      <c r="D27" s="616" t="s">
        <v>7</v>
      </c>
      <c r="E27" s="682">
        <f>IF(SUM('ТИП-ПРОИЗ'!E8,'ТИП-ПРОИЗ'!E27)=0,0,'ТИП-ПРОИЗ'!E27/SUM('ТИП-ПРОИЗ'!E8,'ТИП-ПРОИЗ'!E27))</f>
        <v>0.27296042613694615</v>
      </c>
      <c r="F27" s="505">
        <f>IF(SUM('ТИП-ПРОИЗ'!F8,'ТИП-ПРОИЗ'!F27)=0,0,'ТИП-ПРОИЗ'!F27/SUM('ТИП-ПРОИЗ'!F8,'ТИП-ПРОИЗ'!F27))</f>
        <v>0.2778763964456738</v>
      </c>
      <c r="G27"/>
    </row>
    <row r="28" spans="1:7" s="617" customFormat="1" ht="14.25" customHeight="1">
      <c r="A28" s="597">
        <v>27</v>
      </c>
      <c r="B28" s="614" t="s">
        <v>678</v>
      </c>
      <c r="C28" s="615" t="s">
        <v>81</v>
      </c>
      <c r="D28" s="616" t="s">
        <v>23</v>
      </c>
      <c r="E28" s="604">
        <v>3369984</v>
      </c>
      <c r="F28" s="601">
        <v>3242534</v>
      </c>
    </row>
    <row r="29" spans="1:7" s="617" customFormat="1" ht="14.25" customHeight="1">
      <c r="A29" s="597">
        <v>28</v>
      </c>
      <c r="B29" s="614" t="s">
        <v>679</v>
      </c>
      <c r="C29" s="615" t="s">
        <v>213</v>
      </c>
      <c r="D29" s="616" t="s">
        <v>46</v>
      </c>
      <c r="E29" s="604">
        <v>3449.88</v>
      </c>
      <c r="F29" s="601">
        <v>3449.8</v>
      </c>
    </row>
    <row r="30" spans="1:7" s="617" customFormat="1" ht="14.25" customHeight="1">
      <c r="A30" s="597">
        <v>29</v>
      </c>
      <c r="B30" s="614" t="s">
        <v>205</v>
      </c>
      <c r="C30" s="615" t="s">
        <v>81</v>
      </c>
      <c r="D30" s="616" t="s">
        <v>23</v>
      </c>
      <c r="E30" s="604">
        <v>2101181</v>
      </c>
      <c r="F30" s="601">
        <v>2009001</v>
      </c>
    </row>
    <row r="31" spans="1:7" s="617" customFormat="1" ht="14.25" customHeight="1">
      <c r="A31" s="597">
        <v>30</v>
      </c>
      <c r="B31" s="614" t="s">
        <v>206</v>
      </c>
      <c r="C31" s="615" t="s">
        <v>213</v>
      </c>
      <c r="D31" s="616" t="s">
        <v>46</v>
      </c>
      <c r="E31" s="604">
        <v>2915.9</v>
      </c>
      <c r="F31" s="601">
        <v>2916.19</v>
      </c>
    </row>
    <row r="32" spans="1:7" s="617" customFormat="1" ht="14.25" customHeight="1">
      <c r="A32" s="597">
        <v>31</v>
      </c>
      <c r="B32" s="618" t="s">
        <v>54</v>
      </c>
      <c r="C32" s="615" t="s">
        <v>55</v>
      </c>
      <c r="D32" s="616" t="s">
        <v>23</v>
      </c>
      <c r="E32" s="619">
        <f>SUM(E9,-E28)</f>
        <v>51896</v>
      </c>
      <c r="F32" s="603">
        <f>SUM(F9,-F28)</f>
        <v>49944</v>
      </c>
    </row>
    <row r="33" spans="1:6" s="617" customFormat="1" ht="14.25" customHeight="1">
      <c r="A33" s="597">
        <v>32</v>
      </c>
      <c r="B33" s="620" t="s">
        <v>56</v>
      </c>
      <c r="C33" s="615" t="s">
        <v>214</v>
      </c>
      <c r="D33" s="616" t="s">
        <v>46</v>
      </c>
      <c r="E33" s="604">
        <v>3456.96</v>
      </c>
      <c r="F33" s="601">
        <v>3456.92</v>
      </c>
    </row>
    <row r="34" spans="1:6" ht="12.75" customHeight="1">
      <c r="A34" s="597">
        <v>33</v>
      </c>
      <c r="B34" s="620" t="s">
        <v>78</v>
      </c>
      <c r="C34" s="599"/>
      <c r="D34" s="576" t="s">
        <v>70</v>
      </c>
      <c r="E34" s="619">
        <f>SUM(E35:E36)</f>
        <v>1969</v>
      </c>
      <c r="F34" s="603">
        <f>SUM(F35:F36)</f>
        <v>1969</v>
      </c>
    </row>
    <row r="35" spans="1:6" ht="12.75" customHeight="1">
      <c r="A35" s="597" t="s">
        <v>731</v>
      </c>
      <c r="B35" s="621" t="s">
        <v>207</v>
      </c>
      <c r="C35" s="599"/>
      <c r="D35" s="576" t="s">
        <v>70</v>
      </c>
      <c r="E35" s="604">
        <v>1969</v>
      </c>
      <c r="F35" s="604">
        <v>1969</v>
      </c>
    </row>
    <row r="36" spans="1:6" ht="12.75" customHeight="1">
      <c r="A36" s="597" t="s">
        <v>732</v>
      </c>
      <c r="B36" s="621" t="s">
        <v>208</v>
      </c>
      <c r="C36" s="599"/>
      <c r="D36" s="576" t="s">
        <v>70</v>
      </c>
      <c r="E36" s="604"/>
      <c r="F36" s="601"/>
    </row>
    <row r="37" spans="1:6" ht="14.25" customHeight="1">
      <c r="A37" s="597">
        <v>34</v>
      </c>
      <c r="B37" s="620" t="s">
        <v>57</v>
      </c>
      <c r="C37" s="599" t="s">
        <v>58</v>
      </c>
      <c r="D37" s="576" t="s">
        <v>23</v>
      </c>
      <c r="E37" s="604"/>
      <c r="F37" s="601"/>
    </row>
    <row r="38" spans="1:6" ht="14.25" customHeight="1">
      <c r="A38" s="597">
        <v>35</v>
      </c>
      <c r="B38" s="620" t="s">
        <v>59</v>
      </c>
      <c r="C38" s="599" t="s">
        <v>215</v>
      </c>
      <c r="D38" s="576" t="s">
        <v>46</v>
      </c>
      <c r="E38" s="604"/>
      <c r="F38" s="601"/>
    </row>
    <row r="39" spans="1:6" ht="14.25" customHeight="1">
      <c r="A39" s="597">
        <v>36</v>
      </c>
      <c r="B39" s="620" t="s">
        <v>719</v>
      </c>
      <c r="C39" s="599" t="s">
        <v>718</v>
      </c>
      <c r="D39" s="576"/>
      <c r="E39" s="622">
        <f>IF(E37=0,0,'ТИП-ПРОИЗ'!E47/Коефициенти!E37*3600)</f>
        <v>0</v>
      </c>
      <c r="F39" s="623">
        <f>IF(F37=0,0,'ТИП-ПРОИЗ'!F47/Коефициенти!F37*3600)</f>
        <v>0</v>
      </c>
    </row>
    <row r="40" spans="1:6" ht="14.25" customHeight="1">
      <c r="A40" s="597">
        <v>37</v>
      </c>
      <c r="B40" s="620" t="s">
        <v>716</v>
      </c>
      <c r="C40" s="599" t="s">
        <v>50</v>
      </c>
      <c r="D40" s="576" t="s">
        <v>717</v>
      </c>
      <c r="E40" s="622">
        <f>SUM(E38,-E39)/3600*860</f>
        <v>0</v>
      </c>
      <c r="F40" s="623">
        <f>SUM(F38,-F39)/3600*860</f>
        <v>0</v>
      </c>
    </row>
    <row r="41" spans="1:6" ht="14.25" customHeight="1">
      <c r="A41" s="597">
        <v>38</v>
      </c>
      <c r="B41" s="618" t="s">
        <v>60</v>
      </c>
      <c r="C41" s="605" t="s">
        <v>61</v>
      </c>
      <c r="D41" s="576" t="s">
        <v>23</v>
      </c>
      <c r="E41" s="604"/>
      <c r="F41" s="601"/>
    </row>
    <row r="42" spans="1:6" ht="14.25" customHeight="1">
      <c r="A42" s="597">
        <v>39</v>
      </c>
      <c r="B42" s="624" t="s">
        <v>62</v>
      </c>
      <c r="C42" s="599" t="s">
        <v>216</v>
      </c>
      <c r="D42" s="576" t="s">
        <v>46</v>
      </c>
      <c r="E42" s="604"/>
      <c r="F42" s="601"/>
    </row>
    <row r="43" spans="1:6" ht="14.25" customHeight="1">
      <c r="A43" s="597">
        <v>40</v>
      </c>
      <c r="B43" s="618" t="s">
        <v>82</v>
      </c>
      <c r="C43" s="605" t="s">
        <v>63</v>
      </c>
      <c r="D43" s="616" t="s">
        <v>23</v>
      </c>
      <c r="E43" s="604">
        <v>645041</v>
      </c>
      <c r="F43" s="601">
        <v>645041</v>
      </c>
    </row>
    <row r="44" spans="1:6" ht="14.25" customHeight="1">
      <c r="A44" s="597">
        <v>41</v>
      </c>
      <c r="B44" s="618" t="s">
        <v>64</v>
      </c>
      <c r="C44" s="605" t="s">
        <v>217</v>
      </c>
      <c r="D44" s="576" t="s">
        <v>46</v>
      </c>
      <c r="E44" s="601">
        <v>85</v>
      </c>
      <c r="F44" s="601">
        <v>85</v>
      </c>
    </row>
    <row r="45" spans="1:6" ht="14.25" customHeight="1">
      <c r="A45" s="597">
        <v>42</v>
      </c>
      <c r="B45" s="620" t="s">
        <v>65</v>
      </c>
      <c r="C45" s="599" t="s">
        <v>66</v>
      </c>
      <c r="D45" s="576" t="s">
        <v>415</v>
      </c>
      <c r="E45" s="600">
        <v>1345697</v>
      </c>
      <c r="F45" s="601">
        <v>1345697</v>
      </c>
    </row>
    <row r="46" spans="1:6" ht="14.25" customHeight="1">
      <c r="A46" s="597">
        <v>43</v>
      </c>
      <c r="B46" s="620" t="s">
        <v>67</v>
      </c>
      <c r="C46" s="599" t="s">
        <v>66</v>
      </c>
      <c r="D46" s="576" t="s">
        <v>415</v>
      </c>
      <c r="E46" s="600">
        <v>11060</v>
      </c>
      <c r="F46" s="601">
        <v>11060</v>
      </c>
    </row>
    <row r="47" spans="1:6" ht="14.25" customHeight="1">
      <c r="A47" s="597">
        <v>44</v>
      </c>
      <c r="B47" s="618" t="s">
        <v>68</v>
      </c>
      <c r="C47" s="599" t="s">
        <v>69</v>
      </c>
      <c r="D47" s="576" t="s">
        <v>70</v>
      </c>
      <c r="E47" s="600">
        <v>234.77</v>
      </c>
      <c r="F47" s="601">
        <v>234.77</v>
      </c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25"/>
      <c r="D52" s="626" t="str">
        <f>Разходи!$E$91</f>
        <v>Изп. директор:</v>
      </c>
      <c r="E52" s="627"/>
      <c r="F52" s="627"/>
      <c r="G52" s="628"/>
    </row>
    <row r="53" spans="1:7" ht="12.75">
      <c r="A53" s="1"/>
      <c r="B53" s="629" t="str">
        <f>Разходи!$B$93</f>
        <v>/ П.Маринова/</v>
      </c>
      <c r="D53" s="628"/>
      <c r="E53" s="828" t="str">
        <f>Разходи!$F$93</f>
        <v>/ Янилин Павлов /</v>
      </c>
      <c r="F53" s="828"/>
      <c r="G53" s="828"/>
    </row>
    <row r="54" spans="1:7" ht="14.25" customHeight="1">
      <c r="B54" s="617"/>
      <c r="C54" s="617"/>
      <c r="D54" s="617"/>
      <c r="E54" s="630"/>
      <c r="F54" s="630"/>
    </row>
    <row r="55" spans="1:7" ht="14.25" customHeight="1">
      <c r="B55" s="617"/>
      <c r="C55" s="617"/>
      <c r="D55" s="617"/>
      <c r="E55" s="631"/>
      <c r="F55" s="631"/>
    </row>
    <row r="56" spans="1:7" ht="14.25" customHeight="1">
      <c r="E56" s="632"/>
      <c r="F56" s="632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5"/>
      <c r="D62" s="19"/>
    </row>
    <row r="63" spans="1:7" ht="12.75">
      <c r="A63" s="75"/>
      <c r="D63" s="19"/>
    </row>
    <row r="64" spans="1:7" ht="12.75">
      <c r="A64" s="75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31" workbookViewId="0">
      <selection activeCell="D58" sqref="D58"/>
    </sheetView>
  </sheetViews>
  <sheetFormatPr defaultColWidth="0" defaultRowHeight="12.75" zeroHeight="1"/>
  <cols>
    <col min="1" max="1" width="3.5703125" style="131" customWidth="1"/>
    <col min="2" max="2" width="27.5703125" style="131" customWidth="1"/>
    <col min="3" max="3" width="8.5703125" style="131" customWidth="1"/>
    <col min="4" max="4" width="9.5703125" style="131" customWidth="1"/>
    <col min="5" max="12" width="8.5703125" style="131" customWidth="1"/>
    <col min="13" max="18" width="0" style="131" hidden="1" customWidth="1"/>
    <col min="19" max="19" width="10.5703125" style="131" hidden="1" customWidth="1"/>
    <col min="20" max="16384" width="0" style="131" hidden="1"/>
  </cols>
  <sheetData>
    <row r="1" spans="1:12" ht="12.75" customHeight="1">
      <c r="A1" s="151">
        <v>1</v>
      </c>
      <c r="B1" s="835" t="s">
        <v>602</v>
      </c>
      <c r="C1" s="835"/>
      <c r="D1" s="835"/>
      <c r="E1" s="835"/>
      <c r="F1" s="835"/>
      <c r="G1" s="835"/>
      <c r="H1" s="835"/>
      <c r="I1" s="835"/>
      <c r="J1" s="509"/>
      <c r="K1" s="132" t="s">
        <v>698</v>
      </c>
    </row>
    <row r="2" spans="1:12" ht="12.75" customHeight="1">
      <c r="B2" s="835" t="str">
        <f>'ТИП-ПРОИЗ'!$B$3</f>
        <v>"БРИКЕЛ" ЕАД</v>
      </c>
      <c r="C2" s="835"/>
      <c r="D2" s="835"/>
      <c r="E2" s="835"/>
      <c r="F2" s="835"/>
      <c r="G2" s="835"/>
      <c r="H2" s="835"/>
      <c r="I2" s="835"/>
      <c r="J2" s="509"/>
      <c r="K2" s="509"/>
    </row>
    <row r="3" spans="1:12"/>
    <row r="4" spans="1:12">
      <c r="A4" s="152" t="s">
        <v>0</v>
      </c>
      <c r="B4" s="153" t="s">
        <v>388</v>
      </c>
      <c r="C4" s="152" t="s">
        <v>381</v>
      </c>
      <c r="D4" s="833">
        <f>IF(D6=0,0,(D6/D8-D7)*860/D6)</f>
        <v>0</v>
      </c>
      <c r="E4" s="833"/>
      <c r="F4" s="833"/>
      <c r="G4" s="833"/>
      <c r="H4" s="833"/>
      <c r="I4" s="833"/>
      <c r="J4" s="833"/>
      <c r="K4" s="833"/>
    </row>
    <row r="5" spans="1:12">
      <c r="A5" s="143">
        <v>1</v>
      </c>
      <c r="B5" s="143" t="s">
        <v>462</v>
      </c>
      <c r="C5" s="106"/>
      <c r="D5" s="106" t="s">
        <v>152</v>
      </c>
      <c r="E5" s="106" t="s">
        <v>234</v>
      </c>
      <c r="F5" s="106" t="s">
        <v>235</v>
      </c>
      <c r="G5" s="106" t="s">
        <v>236</v>
      </c>
      <c r="H5" s="106" t="s">
        <v>237</v>
      </c>
      <c r="I5" s="106" t="s">
        <v>238</v>
      </c>
      <c r="J5" s="106" t="s">
        <v>239</v>
      </c>
      <c r="K5" s="106" t="s">
        <v>445</v>
      </c>
    </row>
    <row r="6" spans="1:12">
      <c r="A6" s="106" t="s">
        <v>256</v>
      </c>
      <c r="B6" s="154" t="s">
        <v>664</v>
      </c>
      <c r="C6" s="106" t="s">
        <v>241</v>
      </c>
      <c r="D6" s="155">
        <f>SUM(E6:K6)</f>
        <v>0</v>
      </c>
      <c r="E6" s="65"/>
      <c r="F6" s="65"/>
      <c r="G6" s="65"/>
      <c r="H6" s="65"/>
      <c r="I6" s="65"/>
      <c r="J6" s="65"/>
      <c r="K6" s="65"/>
    </row>
    <row r="7" spans="1:12">
      <c r="A7" s="106" t="s">
        <v>257</v>
      </c>
      <c r="B7" s="154" t="s">
        <v>163</v>
      </c>
      <c r="C7" s="106" t="s">
        <v>240</v>
      </c>
      <c r="D7" s="155">
        <f>SUM(E7:K7)</f>
        <v>0</v>
      </c>
      <c r="E7" s="65"/>
      <c r="F7" s="65"/>
      <c r="G7" s="65"/>
      <c r="H7" s="65"/>
      <c r="I7" s="65"/>
      <c r="J7" s="65"/>
      <c r="K7" s="65"/>
    </row>
    <row r="8" spans="1:12">
      <c r="A8" s="106" t="s">
        <v>258</v>
      </c>
      <c r="B8" s="154" t="s">
        <v>242</v>
      </c>
      <c r="C8" s="106" t="s">
        <v>7</v>
      </c>
      <c r="D8" s="156">
        <f>IF(D6=0,0,SUMPRODUCT(E8:K8,E6:K6)/D6)</f>
        <v>0</v>
      </c>
      <c r="E8" s="66"/>
      <c r="F8" s="66"/>
      <c r="G8" s="66"/>
      <c r="H8" s="66"/>
      <c r="I8" s="66"/>
      <c r="J8" s="66"/>
      <c r="K8" s="66"/>
    </row>
    <row r="9" spans="1:12">
      <c r="A9" s="106" t="s">
        <v>259</v>
      </c>
      <c r="B9" s="154" t="s">
        <v>243</v>
      </c>
      <c r="C9" s="106" t="s">
        <v>7</v>
      </c>
      <c r="D9" s="156">
        <f>IF(D7=0,0,SUMPRODUCT(E9:K9,E7:K7)/D7)</f>
        <v>0</v>
      </c>
      <c r="E9" s="66"/>
      <c r="F9" s="66"/>
      <c r="G9" s="66"/>
      <c r="H9" s="66"/>
      <c r="I9" s="66"/>
      <c r="J9" s="66"/>
      <c r="K9" s="66"/>
    </row>
    <row r="10" spans="1:12">
      <c r="A10" s="106" t="s">
        <v>260</v>
      </c>
      <c r="B10" s="154" t="s">
        <v>389</v>
      </c>
      <c r="C10" s="106" t="s">
        <v>7</v>
      </c>
      <c r="D10" s="157">
        <f>SUM(D8:D9)</f>
        <v>0</v>
      </c>
      <c r="E10" s="157">
        <f t="shared" ref="E10:J10" si="0">SUM(E8:E9)</f>
        <v>0</v>
      </c>
      <c r="F10" s="157">
        <f t="shared" si="0"/>
        <v>0</v>
      </c>
      <c r="G10" s="157">
        <f t="shared" si="0"/>
        <v>0</v>
      </c>
      <c r="H10" s="157">
        <f t="shared" si="0"/>
        <v>0</v>
      </c>
      <c r="I10" s="157">
        <f t="shared" si="0"/>
        <v>0</v>
      </c>
      <c r="J10" s="157">
        <f t="shared" si="0"/>
        <v>0</v>
      </c>
      <c r="K10" s="157">
        <f>SUM(K8:K9)</f>
        <v>0</v>
      </c>
    </row>
    <row r="11" spans="1:12"/>
    <row r="12" spans="1:12">
      <c r="B12" s="834" t="s">
        <v>461</v>
      </c>
      <c r="C12" s="834"/>
      <c r="D12" s="834"/>
      <c r="E12" s="834"/>
      <c r="F12" s="834"/>
      <c r="G12" s="834"/>
      <c r="H12" s="834"/>
      <c r="I12" s="834"/>
      <c r="J12" s="834"/>
      <c r="K12" s="834"/>
    </row>
    <row r="13" spans="1:12"/>
    <row r="14" spans="1:12">
      <c r="A14" s="152" t="s">
        <v>0</v>
      </c>
      <c r="B14" s="143" t="s">
        <v>462</v>
      </c>
      <c r="C14" s="152" t="s">
        <v>381</v>
      </c>
      <c r="D14" s="840">
        <f>IF(D16=0,0,IF(D29=0,SUM(D16/D17,D26,D37/D39,-D22,-D42,-D43)*860/SUM(D16,D41),SUM(D16/D17,D26,-D30,-D31)*860/SUM(D16,D29)))</f>
        <v>0</v>
      </c>
      <c r="E14" s="841"/>
      <c r="F14" s="841"/>
      <c r="G14" s="841"/>
      <c r="H14" s="842"/>
      <c r="I14" s="837">
        <f>IF(I16=0,0,SUM(I16/I17,I26,-I19)*860/I16)</f>
        <v>0</v>
      </c>
      <c r="J14" s="838"/>
      <c r="K14" s="839"/>
    </row>
    <row r="15" spans="1:12">
      <c r="A15" s="143">
        <v>2</v>
      </c>
      <c r="B15" s="475" t="s">
        <v>460</v>
      </c>
      <c r="C15" s="106"/>
      <c r="D15" s="415" t="s">
        <v>152</v>
      </c>
      <c r="E15" s="106" t="s">
        <v>269</v>
      </c>
      <c r="F15" s="106"/>
      <c r="G15" s="106"/>
      <c r="H15" s="106"/>
      <c r="I15" s="476" t="s">
        <v>152</v>
      </c>
      <c r="J15" s="106" t="s">
        <v>269</v>
      </c>
      <c r="K15" s="106" t="s">
        <v>270</v>
      </c>
      <c r="L15" s="67"/>
    </row>
    <row r="16" spans="1:12">
      <c r="A16" s="106" t="s">
        <v>272</v>
      </c>
      <c r="B16" s="154" t="s">
        <v>665</v>
      </c>
      <c r="C16" s="106" t="s">
        <v>241</v>
      </c>
      <c r="D16" s="477">
        <f>SUM(E16:H16)</f>
        <v>0</v>
      </c>
      <c r="E16" s="478"/>
      <c r="F16" s="478"/>
      <c r="G16" s="478"/>
      <c r="H16" s="478"/>
      <c r="I16" s="477">
        <f>SUM(J16:K16)</f>
        <v>0</v>
      </c>
      <c r="J16" s="478"/>
      <c r="K16" s="478"/>
      <c r="L16" s="67"/>
    </row>
    <row r="17" spans="1:12">
      <c r="A17" s="106" t="s">
        <v>273</v>
      </c>
      <c r="B17" s="154" t="s">
        <v>271</v>
      </c>
      <c r="C17" s="106" t="s">
        <v>7</v>
      </c>
      <c r="D17" s="156">
        <f>IF(D16=0,0,SUMPRODUCT(E16:H16,E17:H17)/D16)</f>
        <v>0</v>
      </c>
      <c r="E17" s="66"/>
      <c r="F17" s="66"/>
      <c r="G17" s="66"/>
      <c r="H17" s="66"/>
      <c r="I17" s="156">
        <f>IF(I16=0,0,SUMPRODUCT(J16:K16,J17:K17)/I16)</f>
        <v>0</v>
      </c>
      <c r="J17" s="66"/>
      <c r="K17" s="66"/>
      <c r="L17" s="67"/>
    </row>
    <row r="18" spans="1:12">
      <c r="A18" s="143">
        <v>3</v>
      </c>
      <c r="B18" s="154" t="s">
        <v>654</v>
      </c>
      <c r="C18" s="106"/>
      <c r="D18" s="156"/>
      <c r="E18" s="479" t="s">
        <v>652</v>
      </c>
      <c r="F18" s="479"/>
      <c r="G18" s="479"/>
      <c r="H18" s="479"/>
      <c r="I18" s="156"/>
      <c r="J18" s="479" t="s">
        <v>652</v>
      </c>
      <c r="K18" s="479" t="s">
        <v>653</v>
      </c>
      <c r="L18" s="67"/>
    </row>
    <row r="19" spans="1:12">
      <c r="A19" s="106" t="s">
        <v>261</v>
      </c>
      <c r="B19" s="154" t="s">
        <v>443</v>
      </c>
      <c r="C19" s="106" t="s">
        <v>240</v>
      </c>
      <c r="D19" s="477">
        <f>SUM(E19:H19)</f>
        <v>0</v>
      </c>
      <c r="E19" s="480">
        <f>SUM(E20:E22)</f>
        <v>0</v>
      </c>
      <c r="F19" s="480">
        <f>SUM(F20:F22)</f>
        <v>0</v>
      </c>
      <c r="G19" s="480">
        <f>SUM(G20:G22)</f>
        <v>0</v>
      </c>
      <c r="H19" s="480">
        <f>SUM(H20:H22)</f>
        <v>0</v>
      </c>
      <c r="I19" s="477">
        <f>SUM(J19:K19)</f>
        <v>0</v>
      </c>
      <c r="J19" s="480">
        <f>SUM(J20:J22)</f>
        <v>0</v>
      </c>
      <c r="K19" s="480">
        <f>SUM(K20:K22)</f>
        <v>0</v>
      </c>
      <c r="L19" s="67"/>
    </row>
    <row r="20" spans="1:12">
      <c r="A20" s="106" t="s">
        <v>262</v>
      </c>
      <c r="B20" s="154" t="s">
        <v>447</v>
      </c>
      <c r="C20" s="106" t="s">
        <v>240</v>
      </c>
      <c r="D20" s="477">
        <f>SUM(E20:H20)</f>
        <v>0</v>
      </c>
      <c r="E20" s="478"/>
      <c r="F20" s="478"/>
      <c r="G20" s="478"/>
      <c r="H20" s="478"/>
      <c r="I20" s="477">
        <f>SUM(J20:K20)</f>
        <v>0</v>
      </c>
      <c r="J20" s="478"/>
      <c r="K20" s="478"/>
      <c r="L20" s="67"/>
    </row>
    <row r="21" spans="1:12">
      <c r="A21" s="106" t="s">
        <v>552</v>
      </c>
      <c r="B21" s="154" t="s">
        <v>446</v>
      </c>
      <c r="C21" s="106" t="s">
        <v>240</v>
      </c>
      <c r="D21" s="477">
        <f>SUM(E21:H21)</f>
        <v>0</v>
      </c>
      <c r="E21" s="478"/>
      <c r="F21" s="478"/>
      <c r="G21" s="478"/>
      <c r="H21" s="478"/>
      <c r="I21" s="477">
        <f>SUM(J21:K21)</f>
        <v>0</v>
      </c>
      <c r="J21" s="478"/>
      <c r="K21" s="478"/>
      <c r="L21" s="67"/>
    </row>
    <row r="22" spans="1:12">
      <c r="A22" s="106" t="s">
        <v>600</v>
      </c>
      <c r="B22" s="154" t="s">
        <v>448</v>
      </c>
      <c r="C22" s="106" t="s">
        <v>240</v>
      </c>
      <c r="D22" s="477">
        <f>SUM(E22:H22)</f>
        <v>0</v>
      </c>
      <c r="E22" s="478"/>
      <c r="F22" s="478"/>
      <c r="G22" s="478"/>
      <c r="H22" s="478"/>
      <c r="I22" s="477">
        <f>SUM(J22:K22)</f>
        <v>0</v>
      </c>
      <c r="J22" s="478"/>
      <c r="K22" s="478"/>
      <c r="L22" s="67"/>
    </row>
    <row r="23" spans="1:12">
      <c r="A23" s="106" t="s">
        <v>553</v>
      </c>
      <c r="B23" s="154" t="s">
        <v>444</v>
      </c>
      <c r="C23" s="106" t="s">
        <v>7</v>
      </c>
      <c r="D23" s="156">
        <f t="shared" ref="D23:K23" si="1">IF(D17=0,0,IF((D16/D17)=0,0,SUM(D21:D22)/(D16/D17)))</f>
        <v>0</v>
      </c>
      <c r="E23" s="156">
        <f t="shared" si="1"/>
        <v>0</v>
      </c>
      <c r="F23" s="156">
        <f t="shared" si="1"/>
        <v>0</v>
      </c>
      <c r="G23" s="156">
        <f t="shared" si="1"/>
        <v>0</v>
      </c>
      <c r="H23" s="156">
        <f t="shared" si="1"/>
        <v>0</v>
      </c>
      <c r="I23" s="156">
        <f t="shared" si="1"/>
        <v>0</v>
      </c>
      <c r="J23" s="156">
        <f t="shared" si="1"/>
        <v>0</v>
      </c>
      <c r="K23" s="156">
        <f t="shared" si="1"/>
        <v>0</v>
      </c>
      <c r="L23" s="67"/>
    </row>
    <row r="24" spans="1:12">
      <c r="A24" s="106" t="s">
        <v>554</v>
      </c>
      <c r="B24" s="154" t="s">
        <v>316</v>
      </c>
      <c r="C24" s="106" t="s">
        <v>162</v>
      </c>
      <c r="D24" s="477">
        <f>SUM(E24:H24)</f>
        <v>0</v>
      </c>
      <c r="E24" s="481"/>
      <c r="F24" s="481"/>
      <c r="G24" s="481"/>
      <c r="H24" s="481"/>
      <c r="I24" s="477">
        <f>SUM(J24:K24)</f>
        <v>0</v>
      </c>
      <c r="J24" s="481"/>
      <c r="K24" s="481"/>
      <c r="L24" s="67"/>
    </row>
    <row r="25" spans="1:12">
      <c r="A25" s="106" t="s">
        <v>555</v>
      </c>
      <c r="B25" s="154" t="s">
        <v>317</v>
      </c>
      <c r="C25" s="106" t="s">
        <v>162</v>
      </c>
      <c r="D25" s="477">
        <f>SUM(E25:H25)</f>
        <v>0</v>
      </c>
      <c r="E25" s="481"/>
      <c r="F25" s="481"/>
      <c r="G25" s="481"/>
      <c r="H25" s="481"/>
      <c r="I25" s="477">
        <f>SUM(J25:K25)</f>
        <v>0</v>
      </c>
      <c r="J25" s="481"/>
      <c r="K25" s="481"/>
      <c r="L25" s="67"/>
    </row>
    <row r="26" spans="1:12">
      <c r="A26" s="106" t="s">
        <v>655</v>
      </c>
      <c r="B26" s="154" t="s">
        <v>650</v>
      </c>
      <c r="C26" s="473" t="s">
        <v>164</v>
      </c>
      <c r="D26" s="477">
        <f>SUM(E26:H26)</f>
        <v>0</v>
      </c>
      <c r="E26" s="481"/>
      <c r="F26" s="481"/>
      <c r="G26" s="481"/>
      <c r="H26" s="481"/>
      <c r="I26" s="477"/>
      <c r="J26" s="481"/>
      <c r="K26" s="481"/>
      <c r="L26" s="67"/>
    </row>
    <row r="27" spans="1:12">
      <c r="A27" s="106" t="s">
        <v>556</v>
      </c>
      <c r="B27" s="154" t="s">
        <v>662</v>
      </c>
      <c r="C27" s="473" t="s">
        <v>7</v>
      </c>
      <c r="D27" s="482">
        <f t="shared" ref="D27:K27" si="2">IF(D16=0,0,IF((1-D17)=0,0,IF(D17=0,0,D19/(D16*(1-D17)/D17+D26))))</f>
        <v>0</v>
      </c>
      <c r="E27" s="482">
        <f t="shared" si="2"/>
        <v>0</v>
      </c>
      <c r="F27" s="482">
        <f t="shared" si="2"/>
        <v>0</v>
      </c>
      <c r="G27" s="482">
        <f t="shared" si="2"/>
        <v>0</v>
      </c>
      <c r="H27" s="482">
        <f t="shared" si="2"/>
        <v>0</v>
      </c>
      <c r="I27" s="482">
        <f t="shared" si="2"/>
        <v>0</v>
      </c>
      <c r="J27" s="482">
        <f t="shared" si="2"/>
        <v>0</v>
      </c>
      <c r="K27" s="482">
        <f t="shared" si="2"/>
        <v>0</v>
      </c>
      <c r="L27" s="67"/>
    </row>
    <row r="28" spans="1:12">
      <c r="A28" s="106">
        <v>4</v>
      </c>
      <c r="B28" s="154" t="s">
        <v>657</v>
      </c>
      <c r="C28" s="473"/>
      <c r="D28" s="156"/>
      <c r="E28" s="106" t="s">
        <v>707</v>
      </c>
      <c r="F28" s="106"/>
      <c r="G28" s="106"/>
      <c r="H28" s="106"/>
      <c r="I28" s="843"/>
      <c r="J28" s="846"/>
      <c r="K28" s="846"/>
      <c r="L28" s="67"/>
    </row>
    <row r="29" spans="1:12">
      <c r="A29" s="106" t="s">
        <v>251</v>
      </c>
      <c r="B29" s="154" t="s">
        <v>666</v>
      </c>
      <c r="C29" s="473" t="s">
        <v>241</v>
      </c>
      <c r="D29" s="477">
        <f>SUM(E29:H29)</f>
        <v>0</v>
      </c>
      <c r="E29" s="478"/>
      <c r="F29" s="478"/>
      <c r="G29" s="478"/>
      <c r="H29" s="478"/>
      <c r="I29" s="844"/>
      <c r="J29" s="847"/>
      <c r="K29" s="847"/>
      <c r="L29" s="67"/>
    </row>
    <row r="30" spans="1:12">
      <c r="A30" s="106" t="s">
        <v>252</v>
      </c>
      <c r="B30" s="154" t="s">
        <v>453</v>
      </c>
      <c r="C30" s="473" t="s">
        <v>240</v>
      </c>
      <c r="D30" s="477">
        <f>SUM(E30:H30)</f>
        <v>0</v>
      </c>
      <c r="E30" s="481"/>
      <c r="F30" s="481"/>
      <c r="G30" s="481"/>
      <c r="H30" s="481"/>
      <c r="I30" s="844"/>
      <c r="J30" s="847"/>
      <c r="K30" s="847"/>
      <c r="L30" s="67"/>
    </row>
    <row r="31" spans="1:12">
      <c r="A31" s="106" t="s">
        <v>557</v>
      </c>
      <c r="B31" s="154" t="s">
        <v>454</v>
      </c>
      <c r="C31" s="473" t="s">
        <v>240</v>
      </c>
      <c r="D31" s="477">
        <f>SUM(E31:H31)</f>
        <v>0</v>
      </c>
      <c r="E31" s="481"/>
      <c r="F31" s="481"/>
      <c r="G31" s="481"/>
      <c r="H31" s="481"/>
      <c r="I31" s="844"/>
      <c r="J31" s="847"/>
      <c r="K31" s="847"/>
      <c r="L31" s="67"/>
    </row>
    <row r="32" spans="1:12">
      <c r="A32" s="106" t="s">
        <v>558</v>
      </c>
      <c r="B32" s="483" t="s">
        <v>456</v>
      </c>
      <c r="C32" s="106" t="s">
        <v>162</v>
      </c>
      <c r="D32" s="477">
        <f>SUM(E32:H32)</f>
        <v>0</v>
      </c>
      <c r="E32" s="481"/>
      <c r="F32" s="481"/>
      <c r="G32" s="481"/>
      <c r="H32" s="481"/>
      <c r="I32" s="844"/>
      <c r="J32" s="847"/>
      <c r="K32" s="847"/>
      <c r="L32" s="67"/>
    </row>
    <row r="33" spans="1:12">
      <c r="A33" s="106" t="s">
        <v>559</v>
      </c>
      <c r="B33" s="483" t="s">
        <v>455</v>
      </c>
      <c r="C33" s="106" t="s">
        <v>162</v>
      </c>
      <c r="D33" s="477">
        <f>SUM(E33:H33)</f>
        <v>0</v>
      </c>
      <c r="E33" s="481"/>
      <c r="F33" s="481"/>
      <c r="G33" s="481"/>
      <c r="H33" s="481"/>
      <c r="I33" s="845"/>
      <c r="J33" s="848"/>
      <c r="K33" s="848"/>
      <c r="L33" s="67"/>
    </row>
    <row r="34" spans="1:12" ht="14.25">
      <c r="A34" s="106" t="s">
        <v>560</v>
      </c>
      <c r="B34" s="474" t="s">
        <v>667</v>
      </c>
      <c r="C34" s="106" t="s">
        <v>596</v>
      </c>
      <c r="D34" s="111">
        <f>IF(D29=0,0,IF(D17=0,0,IF(SUM(D16,D29)=0,0,SUM(D16/D17,D26,-D22,-D30,-D31)/SUM(D16,D29)*1000)))</f>
        <v>0</v>
      </c>
      <c r="E34" s="111">
        <f>IF(E29=0,0,IF(E17=0,0,IF(SUM(E16,E29)=0,0,SUM(E16/E17,E26,-E22,-E30,-E31)/SUM(E16,E29)*1000)))</f>
        <v>0</v>
      </c>
      <c r="F34" s="111">
        <f>IF(F29=0,0,IF(F17=0,0,IF(SUM(F16,F29)=0,0,SUM(F16/F17,F26,-F22,-F30,-F31)/SUM(F16,F29)*1000)))</f>
        <v>0</v>
      </c>
      <c r="G34" s="111">
        <f>IF(G29=0,0,IF(G17=0,0,IF(SUM(G16,G29)=0,0,SUM(G16/G17,G26,-G22,-G30,-G31)/SUM(G16,G29)*1000)))</f>
        <v>0</v>
      </c>
      <c r="H34" s="111">
        <f>IF(H29=0,0,IF(H17=0,0,IF(SUM(H16,H29)=0,0,SUM(H16/H17,H26,-H22,-H30,-H31)/SUM(H16,H29)*1000)))</f>
        <v>0</v>
      </c>
      <c r="I34" s="111">
        <f>IF(I17=0,0,IF(I16=0,0,SUM(I16/I17,I26,-I20,-I21,-I22)*860/I16))</f>
        <v>0</v>
      </c>
      <c r="J34" s="111">
        <f>IF(J17=0,0,IF(J16=0,0,SUM(J16/J17,J26,-J20,-J21,-J22)*860/J16))</f>
        <v>0</v>
      </c>
      <c r="K34" s="111">
        <f>IF(K17=0,0,IF(K16=0,0,SUM(K16/K17,K26,-K20,-K21,-K22)*860/K16))</f>
        <v>0</v>
      </c>
      <c r="L34" s="67"/>
    </row>
    <row r="35" spans="1:12">
      <c r="A35" s="143">
        <v>5</v>
      </c>
      <c r="B35" s="154" t="s">
        <v>389</v>
      </c>
      <c r="C35" s="106" t="s">
        <v>7</v>
      </c>
      <c r="D35" s="157">
        <f>IF(D17=0,0,IF(D29=0,0,IF(SUM(D16/D17,D26)=0,0,SUM(D16,D29,D22,D30:D31)/SUM(D16/D17,D26))))</f>
        <v>0</v>
      </c>
      <c r="E35" s="157">
        <f>IF(E17=0,0,IF(E29=0,0,IF(SUM(E16/E17,E26)=0,0,SUM(E16,E29,E22,E30:E31)/SUM(E16/E17,E26))))</f>
        <v>0</v>
      </c>
      <c r="F35" s="157">
        <f>IF(F17=0,0,IF(F29=0,0,IF(SUM(F16/F17,F26)=0,0,SUM(F16,F29,F22,F30:F31)/SUM(F16/F17,F26))))</f>
        <v>0</v>
      </c>
      <c r="G35" s="157">
        <f>IF(G17=0,0,IF(G29=0,0,IF(SUM(G16/G17,G26)=0,0,SUM(G16,G29,G22,G30:G31)/SUM(G16/G17,G26))))</f>
        <v>0</v>
      </c>
      <c r="H35" s="157">
        <f>IF(H17=0,0,IF(H29=0,0,IF(SUM(H16/H17,H26)=0,0,SUM(H16,H29,H22,H30:H31)/SUM(H16/H17,H26))))</f>
        <v>0</v>
      </c>
      <c r="I35" s="158">
        <f>SUM(I17,I23)</f>
        <v>0</v>
      </c>
      <c r="J35" s="157">
        <f>SUM(J17,J23)</f>
        <v>0</v>
      </c>
      <c r="K35" s="157">
        <f>SUM(K17,K23)</f>
        <v>0</v>
      </c>
      <c r="L35" s="67"/>
    </row>
    <row r="36" spans="1:12">
      <c r="A36" s="106">
        <v>6</v>
      </c>
      <c r="B36" s="154" t="s">
        <v>656</v>
      </c>
      <c r="C36" s="473"/>
      <c r="D36" s="477"/>
      <c r="E36" s="484" t="s">
        <v>457</v>
      </c>
      <c r="F36" s="484" t="s">
        <v>458</v>
      </c>
      <c r="G36" s="484" t="s">
        <v>459</v>
      </c>
      <c r="H36" s="484" t="s">
        <v>651</v>
      </c>
      <c r="L36" s="67"/>
    </row>
    <row r="37" spans="1:12">
      <c r="A37" s="106" t="s">
        <v>501</v>
      </c>
      <c r="B37" s="154" t="s">
        <v>449</v>
      </c>
      <c r="C37" s="473" t="s">
        <v>240</v>
      </c>
      <c r="D37" s="477">
        <f>SUM(E37:H37)</f>
        <v>0</v>
      </c>
      <c r="E37" s="481"/>
      <c r="F37" s="481"/>
      <c r="G37" s="481"/>
      <c r="H37" s="481"/>
      <c r="L37" s="67"/>
    </row>
    <row r="38" spans="1:12">
      <c r="A38" s="106" t="s">
        <v>502</v>
      </c>
      <c r="B38" s="154" t="s">
        <v>450</v>
      </c>
      <c r="C38" s="473" t="s">
        <v>162</v>
      </c>
      <c r="D38" s="477">
        <f>SUM(E38:H38)</f>
        <v>0</v>
      </c>
      <c r="E38" s="481"/>
      <c r="F38" s="481"/>
      <c r="G38" s="481"/>
      <c r="H38" s="481"/>
      <c r="L38" s="67"/>
    </row>
    <row r="39" spans="1:12">
      <c r="A39" s="106" t="s">
        <v>659</v>
      </c>
      <c r="B39" s="485" t="s">
        <v>452</v>
      </c>
      <c r="C39" s="473" t="s">
        <v>7</v>
      </c>
      <c r="D39" s="156">
        <f>IF(D37=0,0,SUMPRODUCT(E37:H37,E39:H39)/D37)</f>
        <v>0</v>
      </c>
      <c r="E39" s="66"/>
      <c r="F39" s="66"/>
      <c r="G39" s="66"/>
      <c r="H39" s="66"/>
      <c r="L39" s="67"/>
    </row>
    <row r="40" spans="1:12">
      <c r="A40" s="106">
        <v>7</v>
      </c>
      <c r="B40" s="154" t="s">
        <v>658</v>
      </c>
      <c r="C40" s="473"/>
      <c r="D40" s="156"/>
      <c r="E40" s="106" t="s">
        <v>590</v>
      </c>
      <c r="F40" s="106" t="s">
        <v>591</v>
      </c>
      <c r="G40" s="106" t="s">
        <v>592</v>
      </c>
      <c r="H40" s="106" t="s">
        <v>593</v>
      </c>
      <c r="L40" s="67"/>
    </row>
    <row r="41" spans="1:12">
      <c r="A41" s="106" t="s">
        <v>507</v>
      </c>
      <c r="B41" s="485" t="s">
        <v>451</v>
      </c>
      <c r="C41" s="473" t="s">
        <v>241</v>
      </c>
      <c r="D41" s="477">
        <f>SUM(E41:H41)</f>
        <v>0</v>
      </c>
      <c r="E41" s="478"/>
      <c r="F41" s="478"/>
      <c r="G41" s="478"/>
      <c r="H41" s="478"/>
      <c r="L41" s="67"/>
    </row>
    <row r="42" spans="1:12">
      <c r="A42" s="106" t="s">
        <v>508</v>
      </c>
      <c r="B42" s="154" t="s">
        <v>453</v>
      </c>
      <c r="C42" s="473" t="s">
        <v>240</v>
      </c>
      <c r="D42" s="477">
        <f>SUM(E42:H42)</f>
        <v>0</v>
      </c>
      <c r="E42" s="481"/>
      <c r="F42" s="481"/>
      <c r="G42" s="481"/>
      <c r="H42" s="481"/>
      <c r="L42" s="67"/>
    </row>
    <row r="43" spans="1:12">
      <c r="A43" s="106" t="s">
        <v>509</v>
      </c>
      <c r="B43" s="154" t="s">
        <v>454</v>
      </c>
      <c r="C43" s="473" t="s">
        <v>240</v>
      </c>
      <c r="D43" s="477">
        <f>SUM(E43:H43)</f>
        <v>0</v>
      </c>
      <c r="E43" s="481"/>
      <c r="F43" s="481"/>
      <c r="G43" s="481"/>
      <c r="H43" s="481"/>
      <c r="L43" s="67"/>
    </row>
    <row r="44" spans="1:12">
      <c r="A44" s="106" t="s">
        <v>660</v>
      </c>
      <c r="B44" s="483" t="s">
        <v>456</v>
      </c>
      <c r="C44" s="106" t="s">
        <v>162</v>
      </c>
      <c r="D44" s="477">
        <f>SUM(E44:H44)</f>
        <v>0</v>
      </c>
      <c r="E44" s="481"/>
      <c r="F44" s="481"/>
      <c r="G44" s="481"/>
      <c r="H44" s="481"/>
      <c r="L44" s="67"/>
    </row>
    <row r="45" spans="1:12">
      <c r="A45" s="106" t="s">
        <v>661</v>
      </c>
      <c r="B45" s="483" t="s">
        <v>455</v>
      </c>
      <c r="C45" s="106" t="s">
        <v>162</v>
      </c>
      <c r="D45" s="477">
        <f>SUM(E45:H45)</f>
        <v>0</v>
      </c>
      <c r="E45" s="481"/>
      <c r="F45" s="481"/>
      <c r="G45" s="481"/>
      <c r="H45" s="481"/>
      <c r="L45" s="67"/>
    </row>
    <row r="46" spans="1:12" ht="14.25">
      <c r="A46" s="106" t="s">
        <v>668</v>
      </c>
      <c r="B46" s="474" t="s">
        <v>667</v>
      </c>
      <c r="C46" s="106" t="s">
        <v>596</v>
      </c>
      <c r="D46" s="111">
        <f>IF(D41=0,0,IF($D$17=0,0,IF(D39=0,0,SUM($D$16/$D$17,D26,-$D$22,D37/D39,-D42,-D43)*860/SUM($D$16,D41))))</f>
        <v>0</v>
      </c>
      <c r="E46" s="111">
        <f>IF(E41=0,0,IF($E$17=0,0,IF(COUNT($E$37:$H$37)=0,0,IF(E39=0,0,SUM(($E$16/$E$17-$E$22)/COUNT($E$37:$H$37),E37/E39,-E42,-E43)*860/SUM($E$16,E41)))))</f>
        <v>0</v>
      </c>
      <c r="F46" s="111">
        <f>IF(F41=0,0,IF($E$17=0,0,IF(COUNT($E$37:$H$37)=0,0,IF(F39=0,0,SUM(($E$16/$E$17-$E$22)/COUNT($E$37:$H$37),F37/F39,-F42,-F43)*860/SUM($E$16,F41)))))</f>
        <v>0</v>
      </c>
      <c r="G46" s="111">
        <f>IF(G41=0,0,IF($E$17=0,0,IF(COUNT($E$37:$H$37)=0,0,IF(G39=0,0,SUM(($E$16/$E$17-$E$22)/COUNT($E$37:$H$37),G37/G39,-G42,-G43)*860/SUM($E$16,G41)))))</f>
        <v>0</v>
      </c>
      <c r="H46" s="111">
        <f>IF(H41=0,0,IF($E$17=0,0,IF(COUNT($E$37:$H$37)=0,0,IF(H39=0,0,SUM(($E$16/$E$17-$E$22)/COUNT($E$37:$H$37),H37/H39,-H42,-H43)*860/SUM($E$16,H41)))))</f>
        <v>0</v>
      </c>
      <c r="L46" s="67"/>
    </row>
    <row r="47" spans="1:12">
      <c r="A47" s="106">
        <v>8</v>
      </c>
      <c r="B47" s="154" t="s">
        <v>389</v>
      </c>
      <c r="C47" s="106" t="s">
        <v>7</v>
      </c>
      <c r="D47" s="157">
        <f>IF(D37=0,0,IF(D39=0,0,SUM(D41:D43)/(D37/D39)))</f>
        <v>0</v>
      </c>
      <c r="E47" s="157">
        <f>IF(E37=0,0,IF(E39=0,0,SUM(E41:E43)/(E37/E39)))</f>
        <v>0</v>
      </c>
      <c r="F47" s="157">
        <f>IF(F37=0,0,IF(F39=0,0,SUM(F41:F43)/(F37/F39)))</f>
        <v>0</v>
      </c>
      <c r="G47" s="157">
        <f>IF(G37=0,0,IF(G39=0,0,SUM(G41:G43)/(G37/G39)))</f>
        <v>0</v>
      </c>
      <c r="H47" s="157">
        <f>IF(H37=0,0,IF(H39=0,0,SUM(H41:H43)/(H37/H39)))</f>
        <v>0</v>
      </c>
      <c r="L47" s="67"/>
    </row>
    <row r="48" spans="1:12"/>
    <row r="49" spans="1:12">
      <c r="B49" s="767" t="s">
        <v>597</v>
      </c>
      <c r="C49" s="767"/>
      <c r="D49" s="767"/>
      <c r="E49" s="767"/>
      <c r="F49" s="767"/>
      <c r="G49" s="767"/>
      <c r="H49" s="767"/>
      <c r="I49" s="767"/>
      <c r="J49" s="767"/>
      <c r="K49" s="767"/>
    </row>
    <row r="50" spans="1:12"/>
    <row r="51" spans="1:12">
      <c r="A51" s="152" t="s">
        <v>0</v>
      </c>
      <c r="B51" s="143" t="s">
        <v>462</v>
      </c>
      <c r="C51" s="486"/>
      <c r="D51" s="836" t="s">
        <v>663</v>
      </c>
      <c r="E51" s="836"/>
      <c r="F51" s="836"/>
      <c r="G51" s="836"/>
      <c r="H51" s="836"/>
      <c r="I51" s="836"/>
      <c r="J51" s="836"/>
      <c r="K51" s="836"/>
    </row>
    <row r="52" spans="1:12">
      <c r="A52" s="106">
        <v>3</v>
      </c>
      <c r="B52" s="487" t="s">
        <v>578</v>
      </c>
      <c r="C52" s="106" t="s">
        <v>161</v>
      </c>
      <c r="D52" s="415" t="s">
        <v>152</v>
      </c>
      <c r="E52" s="106" t="s">
        <v>579</v>
      </c>
      <c r="F52" s="106" t="s">
        <v>580</v>
      </c>
      <c r="G52" s="106" t="s">
        <v>581</v>
      </c>
      <c r="H52" s="106" t="s">
        <v>582</v>
      </c>
      <c r="I52" s="106" t="s">
        <v>583</v>
      </c>
      <c r="J52" s="106" t="s">
        <v>584</v>
      </c>
      <c r="K52" s="106" t="s">
        <v>598</v>
      </c>
    </row>
    <row r="53" spans="1:12">
      <c r="A53" s="106" t="s">
        <v>261</v>
      </c>
      <c r="B53" s="474" t="s">
        <v>585</v>
      </c>
      <c r="C53" s="106"/>
      <c r="D53" s="659"/>
      <c r="E53" s="660" t="s">
        <v>764</v>
      </c>
      <c r="F53" s="660"/>
      <c r="G53" s="660"/>
      <c r="H53" s="660"/>
      <c r="I53" s="660"/>
      <c r="J53" s="660"/>
      <c r="K53" s="660"/>
    </row>
    <row r="54" spans="1:12">
      <c r="A54" s="106" t="s">
        <v>262</v>
      </c>
      <c r="B54" s="474" t="s">
        <v>586</v>
      </c>
      <c r="C54" s="106" t="s">
        <v>162</v>
      </c>
      <c r="D54" s="351">
        <f>SUM(E54:K54)</f>
        <v>1050</v>
      </c>
      <c r="E54" s="658">
        <v>210</v>
      </c>
      <c r="F54" s="658">
        <v>210</v>
      </c>
      <c r="G54" s="658">
        <v>210</v>
      </c>
      <c r="H54" s="658">
        <v>210</v>
      </c>
      <c r="I54" s="658">
        <v>210</v>
      </c>
      <c r="J54" s="658"/>
      <c r="K54" s="9"/>
    </row>
    <row r="55" spans="1:12">
      <c r="A55" s="106" t="s">
        <v>552</v>
      </c>
      <c r="B55" s="474" t="s">
        <v>587</v>
      </c>
      <c r="C55" s="106" t="s">
        <v>46</v>
      </c>
      <c r="D55" s="118"/>
      <c r="E55" s="658">
        <v>3515</v>
      </c>
      <c r="F55" s="658">
        <v>3515</v>
      </c>
      <c r="G55" s="658">
        <v>3515</v>
      </c>
      <c r="H55" s="658">
        <v>3515</v>
      </c>
      <c r="I55" s="658">
        <v>3515</v>
      </c>
      <c r="J55" s="658"/>
      <c r="K55" s="9"/>
    </row>
    <row r="56" spans="1:12">
      <c r="A56" s="106" t="s">
        <v>600</v>
      </c>
      <c r="B56" s="474" t="s">
        <v>588</v>
      </c>
      <c r="C56" s="106" t="s">
        <v>46</v>
      </c>
      <c r="D56" s="118"/>
      <c r="E56" s="658">
        <v>994</v>
      </c>
      <c r="F56" s="658">
        <v>994</v>
      </c>
      <c r="G56" s="658">
        <v>994</v>
      </c>
      <c r="H56" s="658">
        <v>994</v>
      </c>
      <c r="I56" s="658">
        <v>994</v>
      </c>
      <c r="J56" s="658"/>
      <c r="K56" s="9"/>
    </row>
    <row r="57" spans="1:12">
      <c r="A57" s="106" t="s">
        <v>553</v>
      </c>
      <c r="B57" s="474" t="s">
        <v>163</v>
      </c>
      <c r="C57" s="106" t="s">
        <v>164</v>
      </c>
      <c r="D57" s="351">
        <f>SUM(E57:K57)</f>
        <v>735.29</v>
      </c>
      <c r="E57" s="415">
        <f t="shared" ref="E57:J57" si="3">ROUND(E54*(E55-E56)/3600,3)</f>
        <v>147.05799999999999</v>
      </c>
      <c r="F57" s="415">
        <f t="shared" si="3"/>
        <v>147.05799999999999</v>
      </c>
      <c r="G57" s="415">
        <f t="shared" si="3"/>
        <v>147.05799999999999</v>
      </c>
      <c r="H57" s="415">
        <f t="shared" si="3"/>
        <v>147.05799999999999</v>
      </c>
      <c r="I57" s="415">
        <f t="shared" si="3"/>
        <v>147.05799999999999</v>
      </c>
      <c r="J57" s="415">
        <f t="shared" si="3"/>
        <v>0</v>
      </c>
      <c r="K57" s="415">
        <f>ROUND(K54*(K55-K56)/3600,3)</f>
        <v>0</v>
      </c>
    </row>
    <row r="58" spans="1:12">
      <c r="A58" s="106" t="s">
        <v>554</v>
      </c>
      <c r="B58" s="475" t="s">
        <v>314</v>
      </c>
      <c r="C58" s="106" t="s">
        <v>240</v>
      </c>
      <c r="D58" s="351">
        <f>SUM(E58:K58)</f>
        <v>721</v>
      </c>
      <c r="E58" s="661">
        <v>144.19999999999999</v>
      </c>
      <c r="F58" s="661">
        <v>144.19999999999999</v>
      </c>
      <c r="G58" s="661">
        <v>144.19999999999999</v>
      </c>
      <c r="H58" s="661">
        <v>144.19999999999999</v>
      </c>
      <c r="I58" s="661">
        <v>144.19999999999999</v>
      </c>
      <c r="J58" s="661"/>
      <c r="K58" s="65"/>
    </row>
    <row r="59" spans="1:12">
      <c r="A59" s="106" t="s">
        <v>555</v>
      </c>
      <c r="B59" s="154" t="s">
        <v>379</v>
      </c>
      <c r="C59" s="106" t="s">
        <v>7</v>
      </c>
      <c r="D59" s="156">
        <f>IF(D58=0,0,SUMPRODUCT(E59:K59,E58:K58)/D58)</f>
        <v>0.85999999999999988</v>
      </c>
      <c r="E59" s="66">
        <v>0.86</v>
      </c>
      <c r="F59" s="66">
        <v>0.86</v>
      </c>
      <c r="G59" s="66">
        <v>0.86</v>
      </c>
      <c r="H59" s="66">
        <v>0.86</v>
      </c>
      <c r="I59" s="66">
        <v>0.86</v>
      </c>
      <c r="J59" s="66"/>
      <c r="K59" s="66"/>
    </row>
    <row r="60" spans="1:12">
      <c r="A60" s="106">
        <v>4</v>
      </c>
      <c r="B60" s="487" t="s">
        <v>589</v>
      </c>
      <c r="C60" s="106"/>
      <c r="D60" s="118"/>
      <c r="E60" s="106" t="s">
        <v>590</v>
      </c>
      <c r="F60" s="106" t="s">
        <v>591</v>
      </c>
      <c r="G60" s="106" t="s">
        <v>592</v>
      </c>
      <c r="H60" s="106" t="s">
        <v>593</v>
      </c>
      <c r="I60" s="106" t="s">
        <v>594</v>
      </c>
      <c r="J60" s="106" t="s">
        <v>595</v>
      </c>
      <c r="K60" s="106" t="s">
        <v>599</v>
      </c>
    </row>
    <row r="61" spans="1:12">
      <c r="A61" s="106" t="s">
        <v>251</v>
      </c>
      <c r="B61" s="474" t="s">
        <v>585</v>
      </c>
      <c r="C61" s="110"/>
      <c r="D61" s="118"/>
      <c r="E61" s="662" t="s">
        <v>765</v>
      </c>
      <c r="F61" s="488"/>
      <c r="G61" s="488"/>
      <c r="H61" s="488"/>
      <c r="I61" s="488"/>
      <c r="J61" s="488"/>
      <c r="K61" s="488"/>
    </row>
    <row r="62" spans="1:12">
      <c r="A62" s="106" t="s">
        <v>252</v>
      </c>
      <c r="B62" s="485" t="s">
        <v>451</v>
      </c>
      <c r="C62" s="473" t="s">
        <v>241</v>
      </c>
      <c r="D62" s="665">
        <f>SUM(E62:H62)</f>
        <v>200</v>
      </c>
      <c r="E62" s="663">
        <v>50</v>
      </c>
      <c r="F62" s="663">
        <v>50</v>
      </c>
      <c r="G62" s="663">
        <v>50</v>
      </c>
      <c r="H62" s="663">
        <v>50</v>
      </c>
      <c r="I62" s="478"/>
      <c r="J62" s="478"/>
      <c r="K62" s="478"/>
      <c r="L62" s="67"/>
    </row>
    <row r="63" spans="1:12">
      <c r="A63" s="106" t="s">
        <v>557</v>
      </c>
      <c r="B63" s="154" t="s">
        <v>453</v>
      </c>
      <c r="C63" s="473" t="s">
        <v>240</v>
      </c>
      <c r="D63" s="665">
        <f>SUM(E63:H63)</f>
        <v>378.8</v>
      </c>
      <c r="E63" s="664">
        <v>94.7</v>
      </c>
      <c r="F63" s="664">
        <v>94.7</v>
      </c>
      <c r="G63" s="664">
        <v>94.7</v>
      </c>
      <c r="H63" s="664">
        <v>94.7</v>
      </c>
      <c r="I63" s="481"/>
      <c r="J63" s="481"/>
      <c r="K63" s="481"/>
      <c r="L63" s="67"/>
    </row>
    <row r="64" spans="1:12">
      <c r="A64" s="106" t="s">
        <v>558</v>
      </c>
      <c r="B64" s="154" t="s">
        <v>454</v>
      </c>
      <c r="C64" s="473" t="s">
        <v>240</v>
      </c>
      <c r="D64" s="477">
        <f>SUM(E64:G64)</f>
        <v>0</v>
      </c>
      <c r="E64" s="481"/>
      <c r="F64" s="481"/>
      <c r="G64" s="481"/>
      <c r="H64" s="481"/>
      <c r="I64" s="481"/>
      <c r="J64" s="481"/>
      <c r="K64" s="481"/>
      <c r="L64" s="67"/>
    </row>
    <row r="65" spans="1:12">
      <c r="A65" s="106" t="s">
        <v>559</v>
      </c>
      <c r="B65" s="483" t="s">
        <v>456</v>
      </c>
      <c r="C65" s="106" t="s">
        <v>162</v>
      </c>
      <c r="D65" s="477">
        <f>SUM(E65:G65)</f>
        <v>0</v>
      </c>
      <c r="E65" s="481"/>
      <c r="F65" s="481"/>
      <c r="G65" s="481"/>
      <c r="H65" s="481"/>
      <c r="I65" s="481"/>
      <c r="J65" s="481"/>
      <c r="K65" s="481"/>
      <c r="L65" s="67"/>
    </row>
    <row r="66" spans="1:12">
      <c r="A66" s="106" t="s">
        <v>560</v>
      </c>
      <c r="B66" s="483" t="s">
        <v>455</v>
      </c>
      <c r="C66" s="106" t="s">
        <v>162</v>
      </c>
      <c r="D66" s="477">
        <f>SUM(E66:G66)</f>
        <v>0</v>
      </c>
      <c r="E66" s="481"/>
      <c r="F66" s="481"/>
      <c r="G66" s="481"/>
      <c r="H66" s="481"/>
      <c r="I66" s="481"/>
      <c r="J66" s="481"/>
      <c r="K66" s="481"/>
      <c r="L66" s="67"/>
    </row>
    <row r="67" spans="1:12" ht="14.25">
      <c r="A67" s="106" t="s">
        <v>561</v>
      </c>
      <c r="B67" s="474" t="s">
        <v>667</v>
      </c>
      <c r="C67" s="106" t="s">
        <v>596</v>
      </c>
      <c r="D67" s="118">
        <f>IF(D62=0,0,SUMPRODUCT(E67:K67,E62:K62)/D62)</f>
        <v>2855</v>
      </c>
      <c r="E67" s="658">
        <v>2855</v>
      </c>
      <c r="F67" s="658">
        <v>2855</v>
      </c>
      <c r="G67" s="658">
        <v>2855</v>
      </c>
      <c r="H67" s="658">
        <v>2855</v>
      </c>
      <c r="I67" s="9"/>
      <c r="J67" s="9"/>
      <c r="K67" s="9"/>
    </row>
    <row r="68" spans="1:12">
      <c r="A68" s="106">
        <v>5</v>
      </c>
      <c r="B68" s="154" t="s">
        <v>389</v>
      </c>
      <c r="C68" s="106" t="s">
        <v>7</v>
      </c>
      <c r="D68" s="157">
        <f>IF(D59=0,0,IF(D58=0,0,SUM(D62:D64)/(D58/D59)))</f>
        <v>0.6903855755894589</v>
      </c>
      <c r="E68" s="157">
        <f t="shared" ref="E68:K68" si="4">IF(E59=0,0,IF(E58=0,0,SUM(E62:E64)/(E58/E59)))</f>
        <v>0.86298196948682382</v>
      </c>
      <c r="F68" s="157">
        <f t="shared" si="4"/>
        <v>0.86298196948682382</v>
      </c>
      <c r="G68" s="157">
        <f t="shared" si="4"/>
        <v>0.86298196948682382</v>
      </c>
      <c r="H68" s="157">
        <f t="shared" si="4"/>
        <v>0.86298196948682382</v>
      </c>
      <c r="I68" s="157">
        <f t="shared" si="4"/>
        <v>0</v>
      </c>
      <c r="J68" s="157">
        <f t="shared" si="4"/>
        <v>0</v>
      </c>
      <c r="K68" s="157">
        <f t="shared" si="4"/>
        <v>0</v>
      </c>
      <c r="L68" s="67"/>
    </row>
    <row r="69" spans="1:12"/>
    <row r="70" spans="1:12">
      <c r="B70" s="489"/>
      <c r="K70" s="490"/>
    </row>
    <row r="71" spans="1:12">
      <c r="B71" s="489"/>
      <c r="F71" s="491"/>
      <c r="G71" s="492"/>
      <c r="H71" s="493"/>
      <c r="I71" s="494"/>
      <c r="J71" s="495"/>
      <c r="K71" s="494"/>
    </row>
    <row r="72" spans="1:12" customFormat="1">
      <c r="B72" s="489"/>
      <c r="K72" s="501"/>
    </row>
    <row r="73" spans="1:12">
      <c r="B73" s="489"/>
      <c r="F73" s="491"/>
      <c r="G73" s="366"/>
      <c r="J73" s="495"/>
      <c r="K73" s="490"/>
    </row>
    <row r="74" spans="1:12">
      <c r="B74" s="496"/>
      <c r="K74" s="499"/>
    </row>
    <row r="75" spans="1:12">
      <c r="B75" s="496"/>
      <c r="K75" s="499"/>
    </row>
    <row r="76" spans="1:12">
      <c r="B76" s="496"/>
      <c r="K76" s="499"/>
    </row>
    <row r="77" spans="1:12"/>
    <row r="78" spans="1:12">
      <c r="B78" s="132" t="str">
        <f>'[1]Разходи-Произв.'!$A$79</f>
        <v>Гл. счетоводител:</v>
      </c>
      <c r="G78" s="497" t="str">
        <f>'[1]Разходи-Произв.'!$E$79</f>
        <v>Изп. директор:</v>
      </c>
      <c r="I78" s="201"/>
      <c r="J78" s="201"/>
    </row>
    <row r="79" spans="1:12">
      <c r="C79" s="498" t="str">
        <f>Разходи!$B$93</f>
        <v>/ П.Маринова/</v>
      </c>
      <c r="G79" s="201"/>
      <c r="H79" s="201" t="str">
        <f>Разходи!$F$93</f>
        <v>/ Янилин Павлов /</v>
      </c>
      <c r="I79" s="201"/>
      <c r="J79" s="201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verticalDpi="300" r:id="rId1"/>
  <ignoredErrors>
    <ignoredError sqref="D10 F19:G19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A20" sqref="A20:C20"/>
    </sheetView>
  </sheetViews>
  <sheetFormatPr defaultColWidth="0" defaultRowHeight="12.75" customHeight="1" zeroHeight="1"/>
  <cols>
    <col min="1" max="1" width="3.5703125" style="102" customWidth="1"/>
    <col min="2" max="2" width="28.5703125" style="102" customWidth="1"/>
    <col min="3" max="3" width="7.85546875" style="102" customWidth="1"/>
    <col min="4" max="10" width="9.5703125" style="102" customWidth="1"/>
    <col min="11" max="12" width="8.5703125" style="102" customWidth="1"/>
    <col min="13" max="13" width="8.85546875" style="102" customWidth="1"/>
    <col min="14" max="16384" width="8.85546875" style="102" hidden="1"/>
  </cols>
  <sheetData>
    <row r="1" spans="1:12" ht="12.75" customHeight="1">
      <c r="A1" s="101">
        <v>2</v>
      </c>
      <c r="B1" s="851" t="s">
        <v>696</v>
      </c>
      <c r="C1" s="851"/>
      <c r="D1" s="851"/>
      <c r="E1" s="851"/>
      <c r="F1" s="851"/>
      <c r="G1" s="851"/>
      <c r="H1" s="851"/>
      <c r="I1" s="851"/>
      <c r="J1" s="851"/>
      <c r="K1" s="103"/>
      <c r="L1" s="132" t="s">
        <v>697</v>
      </c>
    </row>
    <row r="2" spans="1:12" ht="12.75" customHeight="1">
      <c r="B2" s="851" t="str">
        <f>'ТИП-ПРОИЗ'!B3</f>
        <v>"БРИКЕЛ" ЕАД</v>
      </c>
      <c r="C2" s="851"/>
      <c r="D2" s="851"/>
      <c r="E2" s="851"/>
      <c r="F2" s="851"/>
      <c r="G2" s="851"/>
      <c r="H2" s="851"/>
      <c r="I2" s="851"/>
      <c r="J2" s="851"/>
      <c r="K2" s="103"/>
      <c r="L2" s="103"/>
    </row>
    <row r="3" spans="1:12" ht="12.75" customHeight="1"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12.75" customHeight="1">
      <c r="B4" s="768" t="s">
        <v>566</v>
      </c>
      <c r="C4" s="768"/>
      <c r="D4" s="768"/>
      <c r="E4" s="768"/>
      <c r="F4" s="768"/>
      <c r="G4" s="768"/>
      <c r="H4" s="768"/>
      <c r="I4" s="768"/>
      <c r="J4" s="768"/>
      <c r="K4" s="103"/>
      <c r="L4" s="103"/>
    </row>
    <row r="5" spans="1:12"/>
    <row r="6" spans="1:12">
      <c r="A6" s="852">
        <f>'ТИП-ПРОИЗ'!$B$5</f>
        <v>2020</v>
      </c>
      <c r="B6" s="852"/>
      <c r="C6" s="852"/>
      <c r="D6" s="850" t="s">
        <v>383</v>
      </c>
      <c r="E6" s="850"/>
      <c r="F6" s="850"/>
      <c r="G6" s="850"/>
      <c r="H6" s="850"/>
      <c r="I6" s="850"/>
      <c r="J6" s="850"/>
      <c r="K6" s="850"/>
      <c r="L6" s="850"/>
    </row>
    <row r="7" spans="1:12">
      <c r="A7" s="141">
        <v>1</v>
      </c>
      <c r="B7" s="142" t="s">
        <v>255</v>
      </c>
      <c r="C7" s="143" t="s">
        <v>381</v>
      </c>
      <c r="D7" s="101" t="s">
        <v>152</v>
      </c>
      <c r="E7" s="141" t="s">
        <v>165</v>
      </c>
      <c r="F7" s="141" t="s">
        <v>166</v>
      </c>
      <c r="G7" s="141" t="s">
        <v>167</v>
      </c>
      <c r="H7" s="141" t="s">
        <v>209</v>
      </c>
      <c r="I7" s="141" t="s">
        <v>210</v>
      </c>
      <c r="J7" s="141" t="s">
        <v>211</v>
      </c>
      <c r="K7" s="141" t="s">
        <v>382</v>
      </c>
      <c r="L7" s="141" t="s">
        <v>576</v>
      </c>
    </row>
    <row r="8" spans="1:12">
      <c r="A8" s="144" t="s">
        <v>256</v>
      </c>
      <c r="B8" s="145">
        <f>'ТИП-ПРОИЗ'!E6</f>
        <v>2019.9998000000001</v>
      </c>
      <c r="C8" s="144" t="s">
        <v>380</v>
      </c>
      <c r="D8" s="146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4" t="s">
        <v>257</v>
      </c>
      <c r="B9" s="147" t="s">
        <v>314</v>
      </c>
      <c r="C9" s="144" t="s">
        <v>240</v>
      </c>
      <c r="D9" s="146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4" t="s">
        <v>258</v>
      </c>
      <c r="B10" s="148" t="s">
        <v>379</v>
      </c>
      <c r="C10" s="144" t="s">
        <v>7</v>
      </c>
      <c r="D10" s="149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49">
        <f>'ТИП-ПРОИЗ'!E6</f>
        <v>2019.9998000000001</v>
      </c>
      <c r="B12" s="849"/>
      <c r="C12" s="849"/>
      <c r="D12" s="850" t="s">
        <v>686</v>
      </c>
      <c r="E12" s="850"/>
      <c r="F12" s="850"/>
      <c r="G12" s="850"/>
      <c r="H12" s="850"/>
      <c r="I12" s="850"/>
      <c r="J12" s="850"/>
      <c r="K12" s="850"/>
      <c r="L12" s="850"/>
    </row>
    <row r="13" spans="1:12">
      <c r="A13" s="141">
        <v>1</v>
      </c>
      <c r="B13" s="142" t="s">
        <v>255</v>
      </c>
      <c r="C13" s="143" t="s">
        <v>381</v>
      </c>
      <c r="D13" s="101" t="s">
        <v>152</v>
      </c>
      <c r="E13" s="141" t="s">
        <v>165</v>
      </c>
      <c r="F13" s="141" t="s">
        <v>166</v>
      </c>
      <c r="G13" s="141" t="s">
        <v>167</v>
      </c>
      <c r="H13" s="141" t="s">
        <v>209</v>
      </c>
      <c r="I13" s="141" t="s">
        <v>210</v>
      </c>
      <c r="J13" s="141" t="s">
        <v>211</v>
      </c>
      <c r="K13" s="141" t="s">
        <v>382</v>
      </c>
      <c r="L13" s="141" t="s">
        <v>576</v>
      </c>
    </row>
    <row r="14" spans="1:12">
      <c r="A14" s="144" t="s">
        <v>256</v>
      </c>
      <c r="B14" s="147" t="s">
        <v>687</v>
      </c>
      <c r="C14" s="144" t="s">
        <v>688</v>
      </c>
      <c r="D14" s="506"/>
      <c r="E14" s="43"/>
      <c r="F14" s="43"/>
      <c r="G14" s="43"/>
      <c r="H14" s="43"/>
      <c r="I14" s="43"/>
      <c r="J14" s="43"/>
      <c r="K14" s="43"/>
      <c r="L14" s="43"/>
    </row>
    <row r="15" spans="1:12">
      <c r="A15" s="144" t="s">
        <v>257</v>
      </c>
      <c r="B15" s="147" t="s">
        <v>689</v>
      </c>
      <c r="C15" s="144" t="s">
        <v>70</v>
      </c>
      <c r="D15" s="146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4" t="s">
        <v>258</v>
      </c>
      <c r="B16" s="148" t="s">
        <v>243</v>
      </c>
      <c r="C16" s="144" t="s">
        <v>7</v>
      </c>
      <c r="D16" s="149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51" t="s">
        <v>567</v>
      </c>
      <c r="C18" s="851"/>
      <c r="D18" s="851"/>
      <c r="E18" s="851"/>
      <c r="F18" s="851"/>
      <c r="G18" s="851"/>
      <c r="H18" s="851"/>
      <c r="I18" s="851"/>
      <c r="J18" s="851"/>
      <c r="K18" s="508"/>
      <c r="L18" s="508"/>
    </row>
    <row r="19" spans="1:12"/>
    <row r="20" spans="1:12">
      <c r="A20" s="852">
        <f>'ТИП-ПРОИЗ'!$B$5</f>
        <v>2020</v>
      </c>
      <c r="B20" s="852"/>
      <c r="C20" s="852"/>
      <c r="D20" s="850" t="s">
        <v>562</v>
      </c>
      <c r="E20" s="850"/>
      <c r="F20" s="850"/>
      <c r="G20" s="850"/>
      <c r="H20" s="850"/>
      <c r="I20" s="850"/>
      <c r="J20" s="850"/>
      <c r="K20" s="850"/>
      <c r="L20" s="850"/>
    </row>
    <row r="21" spans="1:12">
      <c r="A21" s="141">
        <v>2</v>
      </c>
      <c r="B21" s="142" t="s">
        <v>575</v>
      </c>
      <c r="C21" s="143" t="s">
        <v>381</v>
      </c>
      <c r="D21" s="101" t="s">
        <v>152</v>
      </c>
      <c r="E21" s="141" t="s">
        <v>568</v>
      </c>
      <c r="F21" s="141" t="s">
        <v>569</v>
      </c>
      <c r="G21" s="141" t="s">
        <v>570</v>
      </c>
      <c r="H21" s="141" t="s">
        <v>571</v>
      </c>
      <c r="I21" s="141" t="s">
        <v>572</v>
      </c>
      <c r="J21" s="141" t="s">
        <v>573</v>
      </c>
      <c r="K21" s="141" t="s">
        <v>574</v>
      </c>
      <c r="L21" s="141" t="s">
        <v>577</v>
      </c>
    </row>
    <row r="22" spans="1:12">
      <c r="A22" s="144" t="s">
        <v>272</v>
      </c>
      <c r="B22" s="145">
        <f>B8</f>
        <v>2019.9998000000001</v>
      </c>
      <c r="C22" s="144" t="s">
        <v>380</v>
      </c>
      <c r="D22" s="146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4" t="s">
        <v>273</v>
      </c>
      <c r="B23" s="150" t="s">
        <v>563</v>
      </c>
      <c r="C23" s="144" t="s">
        <v>162</v>
      </c>
      <c r="D23" s="146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4" t="s">
        <v>276</v>
      </c>
      <c r="B24" s="150" t="s">
        <v>564</v>
      </c>
      <c r="C24" s="144" t="s">
        <v>565</v>
      </c>
      <c r="D24" s="146"/>
      <c r="E24" s="55"/>
      <c r="F24" s="55"/>
      <c r="G24" s="55"/>
      <c r="H24" s="55"/>
      <c r="I24" s="55"/>
      <c r="J24" s="55"/>
      <c r="K24" s="55"/>
      <c r="L24" s="55"/>
    </row>
    <row r="25" spans="1:12">
      <c r="A25" s="144" t="s">
        <v>274</v>
      </c>
      <c r="B25" s="147" t="s">
        <v>314</v>
      </c>
      <c r="C25" s="144" t="s">
        <v>240</v>
      </c>
      <c r="D25" s="146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4" t="s">
        <v>275</v>
      </c>
      <c r="B26" s="148" t="s">
        <v>379</v>
      </c>
      <c r="C26" s="144" t="s">
        <v>7</v>
      </c>
      <c r="D26" s="149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49">
        <f>A12</f>
        <v>2019.9998000000001</v>
      </c>
      <c r="B28" s="849"/>
      <c r="C28" s="849"/>
      <c r="D28" s="850" t="s">
        <v>690</v>
      </c>
      <c r="E28" s="850"/>
      <c r="F28" s="850"/>
      <c r="G28" s="850"/>
      <c r="H28" s="850"/>
      <c r="I28" s="850"/>
      <c r="J28" s="850"/>
      <c r="K28" s="850"/>
      <c r="L28" s="850"/>
    </row>
    <row r="29" spans="1:12">
      <c r="A29" s="141">
        <v>2</v>
      </c>
      <c r="B29" s="142" t="s">
        <v>575</v>
      </c>
      <c r="C29" s="143" t="s">
        <v>381</v>
      </c>
      <c r="D29" s="101" t="s">
        <v>152</v>
      </c>
      <c r="E29" s="141" t="s">
        <v>568</v>
      </c>
      <c r="F29" s="141" t="s">
        <v>569</v>
      </c>
      <c r="G29" s="141" t="s">
        <v>570</v>
      </c>
      <c r="H29" s="141" t="s">
        <v>571</v>
      </c>
      <c r="I29" s="141" t="s">
        <v>572</v>
      </c>
      <c r="J29" s="141" t="s">
        <v>573</v>
      </c>
      <c r="K29" s="141" t="s">
        <v>574</v>
      </c>
      <c r="L29" s="141" t="s">
        <v>577</v>
      </c>
    </row>
    <row r="30" spans="1:12">
      <c r="A30" s="144" t="s">
        <v>272</v>
      </c>
      <c r="B30" s="147" t="s">
        <v>687</v>
      </c>
      <c r="C30" s="144" t="s">
        <v>688</v>
      </c>
      <c r="D30" s="506"/>
      <c r="E30" s="43"/>
      <c r="F30" s="43"/>
      <c r="G30" s="43"/>
      <c r="H30" s="43"/>
      <c r="I30" s="43"/>
      <c r="J30" s="43"/>
      <c r="K30" s="43"/>
      <c r="L30" s="43"/>
    </row>
    <row r="31" spans="1:12">
      <c r="A31" s="144" t="s">
        <v>273</v>
      </c>
      <c r="B31" s="150" t="s">
        <v>693</v>
      </c>
      <c r="C31" s="144" t="s">
        <v>23</v>
      </c>
      <c r="D31" s="146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4" t="s">
        <v>276</v>
      </c>
      <c r="B32" s="150" t="s">
        <v>694</v>
      </c>
      <c r="C32" s="144" t="s">
        <v>162</v>
      </c>
      <c r="D32" s="146">
        <f>IF(D30=0,0,D31/D30)</f>
        <v>0</v>
      </c>
      <c r="E32" s="146">
        <f t="shared" ref="E32:L32" si="0">IF(E30=0,0,E31/E30)</f>
        <v>0</v>
      </c>
      <c r="F32" s="146">
        <f t="shared" si="0"/>
        <v>0</v>
      </c>
      <c r="G32" s="146">
        <f t="shared" si="0"/>
        <v>0</v>
      </c>
      <c r="H32" s="146">
        <f t="shared" si="0"/>
        <v>0</v>
      </c>
      <c r="I32" s="146">
        <f t="shared" si="0"/>
        <v>0</v>
      </c>
      <c r="J32" s="146">
        <f t="shared" si="0"/>
        <v>0</v>
      </c>
      <c r="K32" s="146">
        <f t="shared" si="0"/>
        <v>0</v>
      </c>
      <c r="L32" s="146">
        <f t="shared" si="0"/>
        <v>0</v>
      </c>
    </row>
    <row r="33" spans="1:12">
      <c r="A33" s="144" t="s">
        <v>274</v>
      </c>
      <c r="B33" s="150" t="s">
        <v>692</v>
      </c>
      <c r="C33" s="144" t="s">
        <v>565</v>
      </c>
      <c r="D33" s="146"/>
      <c r="E33" s="55"/>
      <c r="F33" s="55"/>
      <c r="G33" s="55"/>
      <c r="H33" s="55"/>
      <c r="I33" s="55"/>
      <c r="J33" s="55"/>
      <c r="K33" s="55"/>
      <c r="L33" s="55"/>
    </row>
    <row r="34" spans="1:12">
      <c r="A34" s="144" t="s">
        <v>275</v>
      </c>
      <c r="B34" s="147" t="s">
        <v>689</v>
      </c>
      <c r="C34" s="144" t="s">
        <v>70</v>
      </c>
      <c r="D34" s="146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4" t="s">
        <v>691</v>
      </c>
      <c r="B35" s="148" t="s">
        <v>243</v>
      </c>
      <c r="C35" s="144" t="s">
        <v>7</v>
      </c>
      <c r="D35" s="149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48" t="s">
        <v>695</v>
      </c>
      <c r="C37" s="144" t="s">
        <v>7</v>
      </c>
      <c r="D37" s="149">
        <f>IF(SUM(D15,D34)=0,0,SUM(D15*D16,D34*D35)/SUM(D15,D34))</f>
        <v>0</v>
      </c>
      <c r="E37" s="507">
        <f>SUM(D37,-F37)</f>
        <v>0</v>
      </c>
      <c r="F37" s="500">
        <f>'ТИП-ПРОИЗ'!E57</f>
        <v>0</v>
      </c>
    </row>
    <row r="38" spans="1:12"/>
    <row r="39" spans="1:12"/>
    <row r="40" spans="1:12">
      <c r="B40" s="132" t="str">
        <f>'[1]Разходи-Произв.'!$A$79</f>
        <v>Гл. счетоводител:</v>
      </c>
      <c r="G40" s="133" t="str">
        <f>'[1]Разходи-Произв.'!$E$79</f>
        <v>Изп. директор:</v>
      </c>
      <c r="I40" s="134"/>
      <c r="J40" s="134"/>
    </row>
    <row r="41" spans="1:12">
      <c r="A41" s="131"/>
      <c r="C41" s="135" t="str">
        <f>Разходи!$B$93</f>
        <v>/ П.Маринова/</v>
      </c>
      <c r="G41" s="134"/>
      <c r="H41" s="136" t="str">
        <f>Разходи!$F$93</f>
        <v>/ Янилин Павлов /</v>
      </c>
      <c r="I41" s="136"/>
      <c r="J41" s="136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15</vt:i4>
      </vt:variant>
    </vt:vector>
  </HeadingPairs>
  <TitlesOfParts>
    <vt:vector size="26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 2020</vt:lpstr>
      <vt:lpstr>Спецификация 2020-2021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'Спецификация 2020'!Print_Area</vt:lpstr>
      <vt:lpstr>'Спецификация 2020-2021'!Print_Area</vt:lpstr>
      <vt:lpstr>'ТИП-ПРЕНОС'!Print_Area</vt:lpstr>
      <vt:lpstr>'ТИП-ПРОИЗ'!Print_Area</vt:lpstr>
      <vt:lpstr>'Спецификация 2020'!Print_Titles</vt:lpstr>
      <vt:lpstr>'Спецификация 2020-2021'!Print_Titles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astoyanova</cp:lastModifiedBy>
  <cp:lastPrinted>2021-03-29T12:10:46Z</cp:lastPrinted>
  <dcterms:created xsi:type="dcterms:W3CDTF">2002-07-02T13:08:08Z</dcterms:created>
  <dcterms:modified xsi:type="dcterms:W3CDTF">2021-03-30T09:31:11Z</dcterms:modified>
</cp:coreProperties>
</file>